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О проведении КР (не приняты решения)\2023\1. 3175 от 24.10.2022\"/>
    </mc:Choice>
  </mc:AlternateContent>
  <xr:revisionPtr revIDLastSave="0" documentId="13_ncr:1_{C84E0311-6E7B-42F5-894B-387C69A962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ХХХХХХ" sheetId="10" r:id="rId1"/>
    <sheet name="КР 2023-2025" sheetId="11" r:id="rId2"/>
  </sheets>
  <externalReferences>
    <externalReference r:id="rId3"/>
  </externalReferences>
  <definedNames>
    <definedName name="_xlnm._FilterDatabase" localSheetId="0" hidden="1">ХХХХХХ!$A$17:$O$17</definedName>
    <definedName name="_xlnm.Print_Titles" localSheetId="0">ХХХХХХ!$17:$17</definedName>
    <definedName name="_xlnm.Print_Area" localSheetId="0">ХХХХХХ!$A$1:$E$191</definedName>
    <definedName name="стены">[1]Справочники!$A$201:$A$223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11" l="1"/>
  <c r="F105" i="11" l="1"/>
  <c r="AA104" i="11"/>
  <c r="G104" i="11"/>
  <c r="F104" i="11"/>
  <c r="D116" i="11" s="1"/>
  <c r="AB103" i="11"/>
  <c r="W103" i="11"/>
  <c r="AB102" i="11"/>
  <c r="W102" i="11"/>
  <c r="AB101" i="11"/>
  <c r="W101" i="11"/>
  <c r="T100" i="11"/>
  <c r="R100" i="11"/>
  <c r="Q100" i="11"/>
  <c r="O100" i="11"/>
  <c r="M100" i="11" s="1"/>
  <c r="AB100" i="11" s="1"/>
  <c r="N100" i="11"/>
  <c r="AC99" i="11"/>
  <c r="AF99" i="11" s="1"/>
  <c r="Z99" i="11"/>
  <c r="AB99" i="11" s="1"/>
  <c r="Y99" i="11"/>
  <c r="Z98" i="11"/>
  <c r="Y98" i="11"/>
  <c r="T97" i="11"/>
  <c r="R97" i="11"/>
  <c r="Q97" i="11"/>
  <c r="O97" i="11"/>
  <c r="N97" i="11"/>
  <c r="AA96" i="11"/>
  <c r="O96" i="11"/>
  <c r="N96" i="11"/>
  <c r="M96" i="11"/>
  <c r="AB96" i="11" s="1"/>
  <c r="W95" i="11"/>
  <c r="T94" i="11"/>
  <c r="O94" i="11"/>
  <c r="N94" i="11"/>
  <c r="AF93" i="11"/>
  <c r="AB93" i="11"/>
  <c r="AC93" i="11" s="1"/>
  <c r="W93" i="11"/>
  <c r="AB92" i="11"/>
  <c r="AC92" i="11" s="1"/>
  <c r="AF92" i="11" s="1"/>
  <c r="Y92" i="11"/>
  <c r="Z91" i="11"/>
  <c r="Y91" i="11"/>
  <c r="AB91" i="11" s="1"/>
  <c r="X91" i="11"/>
  <c r="AB90" i="11"/>
  <c r="Z90" i="11"/>
  <c r="Y90" i="11"/>
  <c r="X90" i="11"/>
  <c r="AF89" i="11"/>
  <c r="AB89" i="11"/>
  <c r="AC89" i="11" s="1"/>
  <c r="W89" i="11"/>
  <c r="Q88" i="11"/>
  <c r="G88" i="11"/>
  <c r="T88" i="11" s="1"/>
  <c r="AC87" i="11"/>
  <c r="AF87" i="11" s="1"/>
  <c r="Y87" i="11"/>
  <c r="AB87" i="11" s="1"/>
  <c r="AC86" i="11"/>
  <c r="AF86" i="11" s="1"/>
  <c r="Y86" i="11"/>
  <c r="AB86" i="11" s="1"/>
  <c r="Z85" i="11"/>
  <c r="Y85" i="11"/>
  <c r="X85" i="11"/>
  <c r="U85" i="11"/>
  <c r="U104" i="11" s="1"/>
  <c r="M85" i="11"/>
  <c r="AC84" i="11"/>
  <c r="AF84" i="11" s="1"/>
  <c r="W84" i="11"/>
  <c r="AB84" i="11" s="1"/>
  <c r="AC83" i="11"/>
  <c r="AF83" i="11" s="1"/>
  <c r="W83" i="11"/>
  <c r="AB83" i="11" s="1"/>
  <c r="T82" i="11"/>
  <c r="R82" i="11"/>
  <c r="Q82" i="11"/>
  <c r="O82" i="11"/>
  <c r="N82" i="11"/>
  <c r="AF81" i="11"/>
  <c r="AB81" i="11"/>
  <c r="AC81" i="11" s="1"/>
  <c r="W81" i="11"/>
  <c r="AB80" i="11"/>
  <c r="W80" i="11"/>
  <c r="AC80" i="11" s="1"/>
  <c r="AF80" i="11" s="1"/>
  <c r="AF79" i="11"/>
  <c r="AB79" i="11"/>
  <c r="W79" i="11"/>
  <c r="AC79" i="11" s="1"/>
  <c r="AA78" i="11"/>
  <c r="Z78" i="11"/>
  <c r="X78" i="11"/>
  <c r="G78" i="11"/>
  <c r="Y78" i="11" s="1"/>
  <c r="T77" i="11"/>
  <c r="R77" i="11"/>
  <c r="Q77" i="11"/>
  <c r="O77" i="11"/>
  <c r="N77" i="11"/>
  <c r="M77" i="11"/>
  <c r="AB77" i="11" s="1"/>
  <c r="W76" i="11"/>
  <c r="Z75" i="11"/>
  <c r="X75" i="11"/>
  <c r="AB74" i="11"/>
  <c r="O74" i="11"/>
  <c r="M74" i="11"/>
  <c r="T73" i="11"/>
  <c r="R73" i="11"/>
  <c r="Q73" i="11"/>
  <c r="O73" i="11"/>
  <c r="N73" i="11"/>
  <c r="M72" i="11"/>
  <c r="AB72" i="11" s="1"/>
  <c r="H72" i="11"/>
  <c r="G72" i="11"/>
  <c r="N72" i="11" s="1"/>
  <c r="W71" i="11"/>
  <c r="AB71" i="11" s="1"/>
  <c r="AC71" i="11" s="1"/>
  <c r="AF71" i="11" s="1"/>
  <c r="W70" i="11"/>
  <c r="AB70" i="11" s="1"/>
  <c r="AC70" i="11" s="1"/>
  <c r="AF70" i="11" s="1"/>
  <c r="Z69" i="11"/>
  <c r="Z104" i="11" s="1"/>
  <c r="X69" i="11"/>
  <c r="G69" i="11"/>
  <c r="Y69" i="11" s="1"/>
  <c r="G68" i="11"/>
  <c r="Y68" i="11" s="1"/>
  <c r="T67" i="11"/>
  <c r="R67" i="11"/>
  <c r="Q67" i="11"/>
  <c r="O67" i="11"/>
  <c r="N67" i="11"/>
  <c r="F65" i="11"/>
  <c r="D113" i="11" s="1"/>
  <c r="T64" i="11"/>
  <c r="R64" i="11"/>
  <c r="Q64" i="11"/>
  <c r="O64" i="11"/>
  <c r="N64" i="11"/>
  <c r="T63" i="11"/>
  <c r="R63" i="11"/>
  <c r="Q63" i="11"/>
  <c r="M63" i="11" s="1"/>
  <c r="AB63" i="11" s="1"/>
  <c r="O63" i="11"/>
  <c r="N63" i="11"/>
  <c r="T62" i="11"/>
  <c r="R62" i="11"/>
  <c r="Q62" i="11"/>
  <c r="O62" i="11"/>
  <c r="N62" i="11"/>
  <c r="M62" i="11"/>
  <c r="AB62" i="11" s="1"/>
  <c r="AA61" i="11"/>
  <c r="Z61" i="11"/>
  <c r="T61" i="11"/>
  <c r="R61" i="11"/>
  <c r="Q61" i="11"/>
  <c r="M61" i="11" s="1"/>
  <c r="AB61" i="11" s="1"/>
  <c r="O61" i="11"/>
  <c r="N61" i="11"/>
  <c r="AC61" i="11" s="1"/>
  <c r="AF61" i="11" s="1"/>
  <c r="AA60" i="11"/>
  <c r="Z60" i="11"/>
  <c r="X60" i="11"/>
  <c r="T60" i="11"/>
  <c r="R60" i="11"/>
  <c r="Q60" i="11"/>
  <c r="M60" i="11" s="1"/>
  <c r="AB60" i="11" s="1"/>
  <c r="O60" i="11"/>
  <c r="N60" i="11"/>
  <c r="Z59" i="11"/>
  <c r="X59" i="11"/>
  <c r="T59" i="11"/>
  <c r="R59" i="11"/>
  <c r="Q59" i="11"/>
  <c r="O59" i="11"/>
  <c r="M59" i="11" s="1"/>
  <c r="AB59" i="11" s="1"/>
  <c r="N59" i="11"/>
  <c r="X58" i="11"/>
  <c r="W58" i="11"/>
  <c r="T57" i="11"/>
  <c r="R57" i="11"/>
  <c r="Q57" i="11"/>
  <c r="O57" i="11"/>
  <c r="N57" i="11"/>
  <c r="M57" i="11"/>
  <c r="AB57" i="11" s="1"/>
  <c r="R56" i="11"/>
  <c r="Q56" i="11"/>
  <c r="O56" i="11"/>
  <c r="N56" i="11"/>
  <c r="M56" i="11"/>
  <c r="AB56" i="11" s="1"/>
  <c r="T55" i="11"/>
  <c r="R55" i="11"/>
  <c r="Q55" i="11"/>
  <c r="O55" i="11"/>
  <c r="N55" i="11"/>
  <c r="AA54" i="11"/>
  <c r="T54" i="11"/>
  <c r="S54" i="11"/>
  <c r="R54" i="11"/>
  <c r="O54" i="11"/>
  <c r="N54" i="11"/>
  <c r="G54" i="11"/>
  <c r="Q54" i="11" s="1"/>
  <c r="T53" i="11"/>
  <c r="R53" i="11"/>
  <c r="Q53" i="11"/>
  <c r="O53" i="11"/>
  <c r="M53" i="11" s="1"/>
  <c r="AB53" i="11" s="1"/>
  <c r="AC53" i="11" s="1"/>
  <c r="AF53" i="11" s="1"/>
  <c r="N53" i="11"/>
  <c r="AA52" i="11"/>
  <c r="AA65" i="11" s="1"/>
  <c r="AA113" i="11" s="1"/>
  <c r="Z52" i="11"/>
  <c r="T52" i="11"/>
  <c r="S52" i="11"/>
  <c r="S65" i="11" s="1"/>
  <c r="R52" i="11"/>
  <c r="Q52" i="11"/>
  <c r="O52" i="11"/>
  <c r="N52" i="11"/>
  <c r="AC51" i="11"/>
  <c r="AF51" i="11" s="1"/>
  <c r="T51" i="11"/>
  <c r="R51" i="11"/>
  <c r="Q51" i="11"/>
  <c r="O51" i="11"/>
  <c r="N51" i="11"/>
  <c r="M51" i="11"/>
  <c r="AB51" i="11" s="1"/>
  <c r="AB50" i="11"/>
  <c r="AC50" i="11" s="1"/>
  <c r="AF50" i="11" s="1"/>
  <c r="Y49" i="11"/>
  <c r="O49" i="11"/>
  <c r="G49" i="11"/>
  <c r="Z49" i="11" s="1"/>
  <c r="X48" i="11"/>
  <c r="Q48" i="11"/>
  <c r="O48" i="11"/>
  <c r="G48" i="11"/>
  <c r="U47" i="11"/>
  <c r="G47" i="11"/>
  <c r="X47" i="11" s="1"/>
  <c r="Z46" i="11"/>
  <c r="T46" i="11"/>
  <c r="Q46" i="11"/>
  <c r="N46" i="11"/>
  <c r="G46" i="11"/>
  <c r="T45" i="11"/>
  <c r="O45" i="11"/>
  <c r="N45" i="11"/>
  <c r="G45" i="11"/>
  <c r="Q45" i="11" s="1"/>
  <c r="R43" i="11"/>
  <c r="R110" i="11" s="1"/>
  <c r="F43" i="11"/>
  <c r="D110" i="11" s="1"/>
  <c r="Y42" i="11"/>
  <c r="AB42" i="11" s="1"/>
  <c r="AC42" i="11" s="1"/>
  <c r="AF42" i="11" s="1"/>
  <c r="AC41" i="11"/>
  <c r="AF41" i="11" s="1"/>
  <c r="AA41" i="11"/>
  <c r="Z41" i="11"/>
  <c r="Y41" i="11"/>
  <c r="T41" i="11"/>
  <c r="R41" i="11"/>
  <c r="Q41" i="11"/>
  <c r="O41" i="11"/>
  <c r="M41" i="11" s="1"/>
  <c r="AB41" i="11" s="1"/>
  <c r="N41" i="11"/>
  <c r="Y40" i="11"/>
  <c r="AB40" i="11" s="1"/>
  <c r="AC40" i="11" s="1"/>
  <c r="AF40" i="11" s="1"/>
  <c r="Y39" i="11"/>
  <c r="AB39" i="11" s="1"/>
  <c r="AC39" i="11" s="1"/>
  <c r="AF39" i="11" s="1"/>
  <c r="Z38" i="11"/>
  <c r="Y38" i="11"/>
  <c r="X38" i="11"/>
  <c r="T38" i="11"/>
  <c r="R38" i="11"/>
  <c r="Q38" i="11"/>
  <c r="O38" i="11"/>
  <c r="M38" i="11" s="1"/>
  <c r="AB38" i="11" s="1"/>
  <c r="N38" i="11"/>
  <c r="W37" i="11"/>
  <c r="AB37" i="11" s="1"/>
  <c r="AC37" i="11" s="1"/>
  <c r="AF37" i="11" s="1"/>
  <c r="G37" i="11"/>
  <c r="AB36" i="11"/>
  <c r="AC36" i="11" s="1"/>
  <c r="AF36" i="11" s="1"/>
  <c r="W36" i="11"/>
  <c r="G35" i="11"/>
  <c r="W35" i="11" s="1"/>
  <c r="W34" i="11"/>
  <c r="W33" i="11"/>
  <c r="G33" i="11"/>
  <c r="G32" i="11"/>
  <c r="W32" i="11" s="1"/>
  <c r="Y31" i="11"/>
  <c r="AB31" i="11" s="1"/>
  <c r="AC31" i="11" s="1"/>
  <c r="AF31" i="11" s="1"/>
  <c r="W30" i="11"/>
  <c r="AB30" i="11" s="1"/>
  <c r="AC30" i="11" s="1"/>
  <c r="AF30" i="11" s="1"/>
  <c r="G30" i="11"/>
  <c r="G29" i="11"/>
  <c r="W29" i="11" s="1"/>
  <c r="O28" i="11"/>
  <c r="N28" i="11"/>
  <c r="G28" i="11"/>
  <c r="U27" i="11"/>
  <c r="M27" i="11"/>
  <c r="AB27" i="11" s="1"/>
  <c r="AC27" i="11" s="1"/>
  <c r="AF27" i="11" s="1"/>
  <c r="Z26" i="11"/>
  <c r="G26" i="11"/>
  <c r="T25" i="11"/>
  <c r="R25" i="11"/>
  <c r="Q25" i="11"/>
  <c r="O25" i="11"/>
  <c r="N25" i="11"/>
  <c r="AB24" i="11"/>
  <c r="W24" i="11"/>
  <c r="AC24" i="11" s="1"/>
  <c r="AF24" i="11" s="1"/>
  <c r="T23" i="11"/>
  <c r="R23" i="11"/>
  <c r="Q23" i="11"/>
  <c r="O23" i="11"/>
  <c r="M23" i="11" s="1"/>
  <c r="AB23" i="11" s="1"/>
  <c r="N23" i="11"/>
  <c r="T22" i="11"/>
  <c r="N22" i="11"/>
  <c r="G22" i="11"/>
  <c r="R22" i="11" s="1"/>
  <c r="W21" i="11"/>
  <c r="AB21" i="11" s="1"/>
  <c r="AC21" i="11" s="1"/>
  <c r="AF21" i="11" s="1"/>
  <c r="G21" i="11"/>
  <c r="T20" i="11"/>
  <c r="Q20" i="11"/>
  <c r="O20" i="11"/>
  <c r="N20" i="11"/>
  <c r="T19" i="11"/>
  <c r="R19" i="11"/>
  <c r="Q19" i="11"/>
  <c r="O19" i="11"/>
  <c r="N19" i="11"/>
  <c r="AC19" i="11" s="1"/>
  <c r="AF19" i="11" s="1"/>
  <c r="M19" i="11"/>
  <c r="AB19" i="11" s="1"/>
  <c r="Y18" i="11"/>
  <c r="AA17" i="11"/>
  <c r="AA43" i="11" s="1"/>
  <c r="AA110" i="11" s="1"/>
  <c r="W17" i="11"/>
  <c r="W43" i="11" s="1"/>
  <c r="W110" i="11" s="1"/>
  <c r="T17" i="11"/>
  <c r="R17" i="11"/>
  <c r="Q17" i="11"/>
  <c r="O17" i="11"/>
  <c r="N17" i="11"/>
  <c r="Y16" i="11"/>
  <c r="Y43" i="11" s="1"/>
  <c r="Y110" i="11" s="1"/>
  <c r="G16" i="11"/>
  <c r="G43" i="11" s="1"/>
  <c r="T15" i="11"/>
  <c r="R15" i="11"/>
  <c r="Q15" i="11"/>
  <c r="O15" i="11"/>
  <c r="N15" i="11"/>
  <c r="T14" i="11"/>
  <c r="T43" i="11" s="1"/>
  <c r="T110" i="11" s="1"/>
  <c r="R14" i="11"/>
  <c r="Q14" i="11"/>
  <c r="O14" i="11"/>
  <c r="M14" i="11"/>
  <c r="AB14" i="11" s="1"/>
  <c r="AC14" i="11" s="1"/>
  <c r="Z116" i="11" l="1"/>
  <c r="M45" i="11"/>
  <c r="Y104" i="11"/>
  <c r="AB68" i="11"/>
  <c r="AC68" i="11" s="1"/>
  <c r="AF68" i="11" s="1"/>
  <c r="M15" i="11"/>
  <c r="AC23" i="11"/>
  <c r="AF23" i="11" s="1"/>
  <c r="M25" i="11"/>
  <c r="AB25" i="11" s="1"/>
  <c r="AC25" i="11"/>
  <c r="AF25" i="11" s="1"/>
  <c r="M28" i="11"/>
  <c r="AB28" i="11" s="1"/>
  <c r="AC28" i="11" s="1"/>
  <c r="AF28" i="11" s="1"/>
  <c r="AC34" i="11"/>
  <c r="AF34" i="11" s="1"/>
  <c r="AB34" i="11"/>
  <c r="M54" i="11"/>
  <c r="AB54" i="11" s="1"/>
  <c r="AC54" i="11" s="1"/>
  <c r="AF54" i="11" s="1"/>
  <c r="Q104" i="11"/>
  <c r="U65" i="11"/>
  <c r="U113" i="11" s="1"/>
  <c r="M47" i="11"/>
  <c r="M64" i="11"/>
  <c r="AB64" i="11" s="1"/>
  <c r="AC64" i="11" s="1"/>
  <c r="AF64" i="11" s="1"/>
  <c r="AC73" i="11"/>
  <c r="AF73" i="11" s="1"/>
  <c r="AF14" i="11"/>
  <c r="AB33" i="11"/>
  <c r="AC33" i="11" s="1"/>
  <c r="AF33" i="11" s="1"/>
  <c r="AB18" i="11"/>
  <c r="AC18" i="11" s="1"/>
  <c r="AF18" i="11" s="1"/>
  <c r="AC17" i="11"/>
  <c r="AF17" i="11" s="1"/>
  <c r="X26" i="11"/>
  <c r="U26" i="11"/>
  <c r="AC29" i="11"/>
  <c r="AF29" i="11" s="1"/>
  <c r="AB29" i="11"/>
  <c r="AB32" i="11"/>
  <c r="AC32" i="11" s="1"/>
  <c r="AF32" i="11" s="1"/>
  <c r="AB35" i="11"/>
  <c r="AC35" i="11" s="1"/>
  <c r="AF35" i="11" s="1"/>
  <c r="AC38" i="11"/>
  <c r="AF38" i="11" s="1"/>
  <c r="AC52" i="11"/>
  <c r="AF52" i="11" s="1"/>
  <c r="M52" i="11"/>
  <c r="AB52" i="11" s="1"/>
  <c r="AC88" i="11"/>
  <c r="AF88" i="11" s="1"/>
  <c r="M88" i="11"/>
  <c r="AB88" i="11" s="1"/>
  <c r="AC96" i="11"/>
  <c r="AF96" i="11" s="1"/>
  <c r="M97" i="11"/>
  <c r="AB97" i="11" s="1"/>
  <c r="AC97" i="11"/>
  <c r="AF97" i="11" s="1"/>
  <c r="Z16" i="11"/>
  <c r="Z43" i="11" s="1"/>
  <c r="Z110" i="11" s="1"/>
  <c r="M17" i="11"/>
  <c r="AB17" i="11" s="1"/>
  <c r="M20" i="11"/>
  <c r="AB20" i="11" s="1"/>
  <c r="AC20" i="11" s="1"/>
  <c r="AF20" i="11" s="1"/>
  <c r="O22" i="11"/>
  <c r="X22" i="11"/>
  <c r="N43" i="11"/>
  <c r="N110" i="11" s="1"/>
  <c r="X46" i="11"/>
  <c r="O46" i="11"/>
  <c r="M46" i="11" s="1"/>
  <c r="AB46" i="11" s="1"/>
  <c r="R46" i="11"/>
  <c r="Y47" i="11"/>
  <c r="Y65" i="11" s="1"/>
  <c r="Y113" i="11" s="1"/>
  <c r="T48" i="11"/>
  <c r="N48" i="11"/>
  <c r="N65" i="11" s="1"/>
  <c r="N113" i="11" s="1"/>
  <c r="R48" i="11"/>
  <c r="Q49" i="11"/>
  <c r="Q65" i="11" s="1"/>
  <c r="Q113" i="11" s="1"/>
  <c r="M55" i="11"/>
  <c r="AB55" i="11" s="1"/>
  <c r="AC56" i="11"/>
  <c r="AF56" i="11" s="1"/>
  <c r="AB58" i="11"/>
  <c r="AC58" i="11" s="1"/>
  <c r="AF58" i="11" s="1"/>
  <c r="W65" i="11"/>
  <c r="W113" i="11" s="1"/>
  <c r="AC59" i="11"/>
  <c r="AF59" i="11" s="1"/>
  <c r="AC62" i="11"/>
  <c r="AF62" i="11" s="1"/>
  <c r="AC63" i="11"/>
  <c r="AF63" i="11" s="1"/>
  <c r="R104" i="11"/>
  <c r="AC74" i="11"/>
  <c r="AF74" i="11" s="1"/>
  <c r="AC76" i="11"/>
  <c r="AF76" i="11" s="1"/>
  <c r="AB76" i="11"/>
  <c r="AB85" i="11"/>
  <c r="AC85" i="11" s="1"/>
  <c r="AF85" i="11" s="1"/>
  <c r="AC90" i="11"/>
  <c r="AF90" i="11" s="1"/>
  <c r="AC91" i="11"/>
  <c r="AF91" i="11" s="1"/>
  <c r="AB98" i="11"/>
  <c r="AC98" i="11" s="1"/>
  <c r="AF98" i="11" s="1"/>
  <c r="AC101" i="11"/>
  <c r="AF101" i="11" s="1"/>
  <c r="AC103" i="11"/>
  <c r="AF103" i="11" s="1"/>
  <c r="Z22" i="11"/>
  <c r="Z47" i="11"/>
  <c r="T49" i="11"/>
  <c r="T65" i="11" s="1"/>
  <c r="T113" i="11" s="1"/>
  <c r="N49" i="11"/>
  <c r="R49" i="11"/>
  <c r="AC60" i="11"/>
  <c r="AF60" i="11" s="1"/>
  <c r="N104" i="11"/>
  <c r="T104" i="11"/>
  <c r="AC72" i="11"/>
  <c r="AF72" i="11" s="1"/>
  <c r="M73" i="11"/>
  <c r="AB73" i="11" s="1"/>
  <c r="AC95" i="11"/>
  <c r="AF95" i="11" s="1"/>
  <c r="AB95" i="11"/>
  <c r="W104" i="11"/>
  <c r="U116" i="11"/>
  <c r="Q22" i="11"/>
  <c r="Q43" i="11" s="1"/>
  <c r="Q110" i="11" s="1"/>
  <c r="X16" i="11"/>
  <c r="Z48" i="11"/>
  <c r="X49" i="11"/>
  <c r="S113" i="11"/>
  <c r="S105" i="11"/>
  <c r="AC55" i="11"/>
  <c r="AF55" i="11" s="1"/>
  <c r="AC57" i="11"/>
  <c r="AF57" i="11" s="1"/>
  <c r="G65" i="11"/>
  <c r="G105" i="11" s="1"/>
  <c r="O104" i="11"/>
  <c r="AB69" i="11"/>
  <c r="AC69" i="11" s="1"/>
  <c r="AF69" i="11" s="1"/>
  <c r="X104" i="11"/>
  <c r="AB75" i="11"/>
  <c r="AC75" i="11" s="1"/>
  <c r="AF75" i="11" s="1"/>
  <c r="AC77" i="11"/>
  <c r="AF77" i="11" s="1"/>
  <c r="M82" i="11"/>
  <c r="AB82" i="11" s="1"/>
  <c r="AC82" i="11" s="1"/>
  <c r="AF82" i="11" s="1"/>
  <c r="AC100" i="11"/>
  <c r="AF100" i="11" s="1"/>
  <c r="AC102" i="11"/>
  <c r="AF102" i="11" s="1"/>
  <c r="AA105" i="11"/>
  <c r="AA116" i="11"/>
  <c r="M67" i="11"/>
  <c r="M94" i="11"/>
  <c r="AB94" i="11" s="1"/>
  <c r="AC94" i="11" s="1"/>
  <c r="AF94" i="11" s="1"/>
  <c r="AB78" i="11"/>
  <c r="AC78" i="11" s="1"/>
  <c r="AF78" i="11" s="1"/>
  <c r="N116" i="11" l="1"/>
  <c r="N105" i="11"/>
  <c r="AB15" i="11"/>
  <c r="Y116" i="11"/>
  <c r="Y105" i="11"/>
  <c r="O116" i="11"/>
  <c r="AB16" i="11"/>
  <c r="AC16" i="11" s="1"/>
  <c r="AF16" i="11" s="1"/>
  <c r="X43" i="11"/>
  <c r="X110" i="11" s="1"/>
  <c r="Z65" i="11"/>
  <c r="X65" i="11"/>
  <c r="X113" i="11" s="1"/>
  <c r="AC26" i="11"/>
  <c r="AF26" i="11" s="1"/>
  <c r="U43" i="11"/>
  <c r="U110" i="11" s="1"/>
  <c r="M26" i="11"/>
  <c r="AB26" i="11" s="1"/>
  <c r="AC47" i="11"/>
  <c r="AF47" i="11" s="1"/>
  <c r="AB45" i="11"/>
  <c r="R116" i="11"/>
  <c r="R105" i="11"/>
  <c r="O65" i="11"/>
  <c r="O113" i="11" s="1"/>
  <c r="M113" i="11" s="1"/>
  <c r="Q116" i="11"/>
  <c r="Q105" i="11"/>
  <c r="AC46" i="11"/>
  <c r="AF46" i="11" s="1"/>
  <c r="W105" i="11"/>
  <c r="W116" i="11"/>
  <c r="M48" i="11"/>
  <c r="AB48" i="11" s="1"/>
  <c r="AC48" i="11" s="1"/>
  <c r="AF48" i="11" s="1"/>
  <c r="AB67" i="11"/>
  <c r="M104" i="11"/>
  <c r="X116" i="11"/>
  <c r="U105" i="11"/>
  <c r="T116" i="11"/>
  <c r="T105" i="11"/>
  <c r="M49" i="11"/>
  <c r="AB49" i="11" s="1"/>
  <c r="AC49" i="11" s="1"/>
  <c r="AF49" i="11" s="1"/>
  <c r="R65" i="11"/>
  <c r="R113" i="11" s="1"/>
  <c r="M110" i="11"/>
  <c r="M22" i="11"/>
  <c r="AB22" i="11" s="1"/>
  <c r="AC22" i="11" s="1"/>
  <c r="AF22" i="11" s="1"/>
  <c r="O43" i="11"/>
  <c r="O110" i="11" s="1"/>
  <c r="AB47" i="11"/>
  <c r="X105" i="11" l="1"/>
  <c r="M116" i="11"/>
  <c r="AB65" i="11"/>
  <c r="AB113" i="11" s="1"/>
  <c r="AC113" i="11" s="1"/>
  <c r="AC45" i="11"/>
  <c r="AC15" i="11"/>
  <c r="AB43" i="11"/>
  <c r="AB110" i="11" s="1"/>
  <c r="AC110" i="11" s="1"/>
  <c r="AB104" i="11"/>
  <c r="AC67" i="11"/>
  <c r="M65" i="11"/>
  <c r="Z113" i="11"/>
  <c r="Z105" i="11"/>
  <c r="O105" i="11"/>
  <c r="M43" i="11"/>
  <c r="M105" i="11" l="1"/>
  <c r="AB105" i="11"/>
  <c r="AB116" i="11"/>
  <c r="AC116" i="11" s="1"/>
  <c r="AF15" i="11"/>
  <c r="AF43" i="11" s="1"/>
  <c r="AC43" i="11"/>
  <c r="AC104" i="11"/>
  <c r="AF67" i="11"/>
  <c r="AC65" i="11"/>
  <c r="AF45" i="11"/>
  <c r="AF65" i="11" s="1"/>
  <c r="AF104" i="11" l="1"/>
  <c r="AF105" i="11" s="1"/>
  <c r="AC10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User</author>
    <author>Автор</author>
  </authors>
  <commentList>
    <comment ref="N14" authorId="0" shapeId="0" xr:uid="{1FBCCBC9-59B5-4912-A01D-37D3AAE66DB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14" authorId="0" shapeId="0" xr:uid="{2320D2A8-E0EA-417A-8D4D-2D46CD649F4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14" authorId="0" shapeId="0" xr:uid="{9090CCAE-713D-4B27-AAFE-540B93ED16F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14" authorId="0" shapeId="0" xr:uid="{C995767A-F7E0-4423-A421-04D77CBB2B0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14" authorId="0" shapeId="0" xr:uid="{17BF8D8D-B612-46B2-B195-CFDE1E32D6F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15" authorId="0" shapeId="0" xr:uid="{ECF63465-9CB9-4B9E-BE5A-CCB082387F9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15" authorId="0" shapeId="0" xr:uid="{FF41463F-63E3-4C25-8EBE-2D10BD916C5D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Q15" authorId="0" shapeId="0" xr:uid="{ADC9964C-3463-42C4-932D-977D453A6044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R15" authorId="0" shapeId="0" xr:uid="{F6B628E3-A3A5-4771-87B7-B95B4B36C1E8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T15" authorId="0" shapeId="0" xr:uid="{0ADBBB93-0805-44B0-83B8-02732CA93339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  <r>
          <rPr>
            <sz val="14"/>
            <rFont val="Tahoma"/>
            <family val="2"/>
            <charset val="204"/>
          </rPr>
          <t xml:space="preserve">
</t>
        </r>
      </text>
    </comment>
    <comment ref="C16" authorId="1" shapeId="0" xr:uid="{707CDC99-A5C2-4C18-B6DE-464BF5A8E47C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X16" authorId="0" shapeId="0" xr:uid="{7E77B97F-7B1C-4EE6-B50C-9172E7FF43DB}">
      <text>
        <r>
          <rPr>
            <b/>
            <sz val="14"/>
            <rFont val="Tahoma"/>
            <family val="2"/>
            <charset val="204"/>
          </rPr>
          <t>Якубицкая Наталья Николаевна решение Комиссии на 2023год</t>
        </r>
      </text>
    </comment>
    <comment ref="Y16" authorId="0" shapeId="0" xr:uid="{1460F0F5-04E2-4A21-8000-69BF4A1E0F4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Z16" authorId="0" shapeId="0" xr:uid="{C9A3A8E4-304F-426C-AB1C-B6997E42194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17" authorId="1" shapeId="0" xr:uid="{0FFE505D-C61A-4374-BB9C-956435A5581E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N17" authorId="0" shapeId="0" xr:uid="{BAF5243A-153F-4012-91AC-1C49F852EE9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O17" authorId="0" shapeId="0" xr:uid="{113CE0EF-09A3-4EB0-B721-48C0E77C13F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Q17" authorId="0" shapeId="0" xr:uid="{BF8154AE-480B-49A3-AB5B-61DDC2F7912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R17" authorId="0" shapeId="0" xr:uid="{7A78B4D8-69DB-4BEB-A5B6-5EEA98FDF2C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T17" authorId="0" shapeId="0" xr:uid="{3A8B7637-63FB-49A1-B374-49B43799ABB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18" authorId="1" shapeId="0" xr:uid="{565DF541-238A-47EC-A69E-49F874BBB5D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18" authorId="0" shapeId="0" xr:uid="{17933744-8DB2-44A6-BBC8-6C01318DD89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M20" authorId="0" shapeId="0" xr:uid="{D6008875-2534-4F78-B889-83618D28E38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20" authorId="0" shapeId="0" xr:uid="{A5BC6D15-B182-414A-B11A-A15A6698267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20" authorId="0" shapeId="0" xr:uid="{B3AD60E4-C733-45B2-A16F-8131CBC5657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20" authorId="0" shapeId="0" xr:uid="{64B9EABB-D8AC-4E25-8F60-4B9F05D1444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20" authorId="0" shapeId="0" xr:uid="{1F0900E6-8DEB-4EB3-B8A0-CCB6EFB22F1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C21" authorId="1" shapeId="0" xr:uid="{BB729D28-E1FC-491E-9DFE-5C5A100BBC96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V21" authorId="0" shapeId="0" xr:uid="{87E14A40-470C-4BAE-A96B-A29F13D74A6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лифт</t>
        </r>
      </text>
    </comment>
    <comment ref="W21" authorId="0" shapeId="0" xr:uid="{C92A441E-22FB-4160-B73B-B0CF9AA2BEC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N22" authorId="0" shapeId="0" xr:uid="{1B7B1F31-939A-4CE7-B226-8F557071254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22" authorId="0" shapeId="0" xr:uid="{01DA2E07-7747-4C63-A802-DECEF456AF9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22" authorId="0" shapeId="0" xr:uid="{FB17506D-1F6F-4C29-A00D-B341D223303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22" authorId="0" shapeId="0" xr:uid="{40A7A886-B81E-42A6-BA9F-EDBE3E3BAFC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22" authorId="0" shapeId="0" xr:uid="{10404ABD-7FFA-473E-B38F-BB99401A9A2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X22" authorId="0" shapeId="0" xr:uid="{14DB0C51-F9DE-4FB9-A05F-03CF411055C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22" authorId="0" shapeId="0" xr:uid="{10B11E82-ED72-49C2-8BFC-1BA6EF537D2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W24" authorId="0" shapeId="0" xr:uid="{72D157E3-C1BF-4BBE-AEBB-4CED394046B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5" authorId="0" shapeId="0" xr:uid="{40BD90F0-5509-4C02-AF9E-63F06A2C55D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25" authorId="0" shapeId="0" xr:uid="{AE4E8275-3627-410C-96DB-ECF7D388BDB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5" authorId="0" shapeId="0" xr:uid="{931A9559-1A0B-4F89-9844-5AB6BEEB3BC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5" authorId="0" shapeId="0" xr:uid="{05A3B972-054B-4D03-B223-2FFF62BFA4E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25" authorId="0" shapeId="0" xr:uid="{C450D1CE-26AB-480F-95B2-019D861F6D5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6" authorId="0" shapeId="0" xr:uid="{F34AC532-C202-46C9-A9A1-EA9E44D36F1D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O26" authorId="0" shapeId="0" xr:uid="{B710935B-4919-4745-92D7-6C4530A2A279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работы не попавшие в КРПЛ 20-22</t>
        </r>
      </text>
    </comment>
    <comment ref="X26" authorId="0" shapeId="0" xr:uid="{27AA8B45-2656-4B10-8024-734212FEE31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20201-2023</t>
        </r>
      </text>
    </comment>
    <comment ref="Y26" authorId="0" shapeId="0" xr:uid="{FC56F1E7-16F8-4671-9190-C83E07C8261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26" authorId="0" shapeId="0" xr:uid="{3F5CE848-6945-485E-A7D2-36F4453930D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AA26" authorId="2" shapeId="0" xr:uid="{00AF6336-6E1F-4C64-844A-079928059098}">
      <text>
        <r>
          <rPr>
            <b/>
            <sz val="14"/>
            <rFont val="Tahoma"/>
            <family val="2"/>
            <charset val="204"/>
          </rPr>
          <t>User:</t>
        </r>
        <r>
          <rPr>
            <sz val="14"/>
            <rFont val="Tahoma"/>
            <family val="2"/>
            <charset val="204"/>
          </rPr>
          <t xml:space="preserve">
без электрики и тепла</t>
        </r>
      </text>
    </comment>
    <comment ref="AF26" authorId="1" shapeId="0" xr:uid="{822C71D9-AD4D-4C2B-B45E-76685980C30A}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U27" authorId="0" shapeId="0" xr:uid="{3FC2759B-ADED-49F9-B18F-A64587B9EF7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28" authorId="0" shapeId="0" xr:uid="{79F9C440-1217-4C5E-8D84-ADC6E4EE463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28" authorId="0" shapeId="0" xr:uid="{98C12230-B417-4CDB-A143-59781939106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28" authorId="0" shapeId="0" xr:uid="{EC06FB28-403A-4268-8BF8-1663AE58D74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28" authorId="0" shapeId="0" xr:uid="{027222A7-81D7-49C7-8789-4802B1C30C3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28" authorId="2" shapeId="0" xr:uid="{D276C589-0A5A-4A50-AA70-E5D838131AC0}">
      <text>
        <r>
          <rPr>
            <b/>
            <sz val="12"/>
            <rFont val="Tahoma"/>
            <family val="2"/>
            <charset val="204"/>
          </rPr>
          <t>User:</t>
        </r>
        <r>
          <rPr>
            <sz val="12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работы выполнены в 2019</t>
        </r>
      </text>
    </comment>
    <comment ref="T28" authorId="0" shapeId="0" xr:uid="{D7E81C67-A3D7-4F8E-A63F-A9857A58E37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28" authorId="0" shapeId="0" xr:uid="{5A0DF561-F50D-444D-A111-294636225C7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подвал 2022-2024</t>
        </r>
      </text>
    </comment>
    <comment ref="Z28" authorId="0" shapeId="0" xr:uid="{182D537E-2A68-4FE3-988E-03E97CF37FA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28" authorId="2" shapeId="0" xr:uid="{B000A209-5EDA-4B7A-A05B-AEF95790D66B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в</t>
        </r>
        <r>
          <rPr>
            <sz val="14"/>
            <rFont val="Tahoma"/>
            <family val="2"/>
            <charset val="204"/>
          </rPr>
          <t>дис - 2848933,20</t>
        </r>
      </text>
    </comment>
    <comment ref="AF28" authorId="1" shapeId="0" xr:uid="{3B241B9E-70B0-41D0-B5DB-9FDC5FDB180D}">
      <text>
        <r>
          <rPr>
            <b/>
            <sz val="9"/>
            <rFont val="Tahoma"/>
            <family val="2"/>
            <charset val="204"/>
          </rPr>
          <t>timofeevaos:</t>
        </r>
        <r>
          <rPr>
            <sz val="9"/>
            <rFont val="Tahoma"/>
            <family val="2"/>
            <charset val="204"/>
          </rPr>
          <t xml:space="preserve">
</t>
        </r>
      </text>
    </comment>
    <comment ref="C29" authorId="1" shapeId="0" xr:uid="{1FF41A88-6D67-4035-A018-264E788017DC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29" authorId="0" shapeId="0" xr:uid="{C8F8A6A8-FC4E-4B38-A89E-0265270CFDA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0" authorId="1" shapeId="0" xr:uid="{DF2ADEEC-029F-4EFE-8DC3-E50D31ED3735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0" authorId="0" shapeId="0" xr:uid="{556E7558-AA8F-41FE-98AD-E3E260DD058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1" authorId="1" shapeId="0" xr:uid="{55E5EFA8-2056-4F6C-8605-EF2498E5BE2C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31" authorId="0" shapeId="0" xr:uid="{76DD1AAE-DE8E-400A-8443-4B204C064F3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2" authorId="1" shapeId="0" xr:uid="{7345DC3E-EEC5-45E7-A4FF-0A1221BAB29B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2" authorId="0" shapeId="0" xr:uid="{1A205F5D-B6C4-4AEC-A1B0-DF41016618A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3" authorId="1" shapeId="0" xr:uid="{8132F777-FA93-45B9-8C88-B962CC5FF092}">
      <text>
        <r>
          <rPr>
            <b/>
            <sz val="16"/>
            <rFont val="Tahoma"/>
            <family val="2"/>
            <charset val="204"/>
          </rPr>
          <t>timofeevaos:</t>
        </r>
        <r>
          <rPr>
            <sz val="16"/>
            <rFont val="Tahoma"/>
            <family val="2"/>
            <charset val="204"/>
          </rPr>
          <t xml:space="preserve">
Комиссия</t>
        </r>
      </text>
    </comment>
    <comment ref="W33" authorId="0" shapeId="0" xr:uid="{7FF5FF51-D74C-47B3-AE10-093A003AA54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4" authorId="1" shapeId="0" xr:uid="{811D233E-CFE1-478B-84CC-500611190553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4" authorId="0" shapeId="0" xr:uid="{921EFDFE-31F1-46E4-8DB1-AD527E39028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5" authorId="1" shapeId="0" xr:uid="{F249FE6B-9714-4E5E-9D30-58E20BB01B3A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5" authorId="0" shapeId="0" xr:uid="{033F3B23-2928-40D8-A510-9998F4A297F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6" authorId="1" shapeId="0" xr:uid="{DC2C3EB4-9E42-43AA-AFD5-2253F415386A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6" authorId="0" shapeId="0" xr:uid="{E8B89EC7-E9B2-45D2-A873-0CF2434D76F6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решение комиссии от 23.04.2021 № 96 на 2023 год</t>
        </r>
      </text>
    </comment>
    <comment ref="C37" authorId="1" shapeId="0" xr:uid="{275C59B1-0E1A-4630-985A-BA777D0C00A7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W37" authorId="0" shapeId="0" xr:uid="{134CF5FB-9EDC-49AD-A519-2C50A39EE52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39" authorId="1" shapeId="0" xr:uid="{2D488479-F74E-4DB9-A63B-1D171BBEFED1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39" authorId="0" shapeId="0" xr:uid="{D0A5F6E6-CA2B-45AD-94A6-659AD58BEDC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C40" authorId="1" shapeId="0" xr:uid="{9B75145A-2BC2-4C32-A777-DF9BD5FA0DE9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40" authorId="0" shapeId="0" xr:uid="{FCA5BF5E-A3AC-42E5-9805-F405D5EBAB1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Комиссии на 2023 год</t>
        </r>
      </text>
    </comment>
    <comment ref="X41" authorId="0" shapeId="0" xr:uid="{7B904DA0-A09C-4FE1-A8D5-E57EA90315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C42" authorId="1" shapeId="0" xr:uid="{F0B1D893-3B2F-477F-96D2-D5DE19360500}">
      <text>
        <r>
          <rPr>
            <b/>
            <sz val="14"/>
            <rFont val="Tahoma"/>
            <family val="2"/>
            <charset val="204"/>
          </rPr>
          <t>timofeevaos:</t>
        </r>
        <r>
          <rPr>
            <sz val="14"/>
            <rFont val="Tahoma"/>
            <family val="2"/>
            <charset val="204"/>
          </rPr>
          <t xml:space="preserve">
комиссия</t>
        </r>
      </text>
    </comment>
    <comment ref="Y42" authorId="0" shapeId="0" xr:uid="{4D898B79-B7C2-4AF1-B355-E944B1C8A38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решение Комисии на 2023 год</t>
        </r>
      </text>
    </comment>
    <comment ref="M45" authorId="0" shapeId="0" xr:uid="{B0624E74-4A0A-481D-A670-4EB641AF161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45" authorId="0" shapeId="0" xr:uid="{B6772C67-C892-49D9-BCAE-BC7A5865DCD8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45" authorId="3" shapeId="0" xr:uid="{D4859CFC-F62F-4042-80C3-DE911B83D99C}">
      <text>
        <r>
          <rPr>
            <b/>
            <sz val="24"/>
            <rFont val="Tahoma"/>
            <family val="2"/>
            <charset val="204"/>
          </rPr>
          <t>ЯКУБИЦКАЯ:</t>
        </r>
        <r>
          <rPr>
            <sz val="24"/>
            <rFont val="Tahoma"/>
            <family val="2"/>
            <charset val="204"/>
          </rPr>
          <t xml:space="preserve">
ремонт ТС с ИТП в 2020</t>
        </r>
      </text>
    </comment>
    <comment ref="Q45" authorId="0" shapeId="0" xr:uid="{5F5247CE-4F3C-4CA0-B818-6DE59BA73A8F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45" authorId="0" shapeId="0" xr:uid="{FA7D4393-384B-477E-B86A-1EBD5B6E4558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46" authorId="0" shapeId="0" xr:uid="{A729BD08-302B-4714-8E81-37E54C25BDE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46" authorId="0" shapeId="0" xr:uid="{8C88EB89-F79A-4C67-83A6-A4825BD4FF8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46" authorId="0" shapeId="0" xr:uid="{10F04192-283F-4C49-8671-DBC10FE89FB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46" authorId="0" shapeId="0" xr:uid="{6BA7FF08-0838-41E8-8B84-C74C7F228CA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46" authorId="0" shapeId="0" xr:uid="{8CFDE81E-1AD1-4225-A7A3-81B1B1C6A6F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46" authorId="0" shapeId="0" xr:uid="{542AE41F-AFDA-4010-955A-E249D404170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Z46" authorId="0" shapeId="0" xr:uid="{A7201FA2-A365-4455-B555-9DDDE98F3D4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47" authorId="0" shapeId="0" xr:uid="{699D1FB6-ABCC-4EDA-A2A7-2C9AB4C0283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47" authorId="0" shapeId="0" xr:uid="{57E7E465-9D4D-421A-8C52-6DD1FE49ADA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47" authorId="3" shapeId="0" xr:uid="{3ED40558-0122-4E24-A971-D12A3667A65A}">
      <text>
        <r>
          <rPr>
            <b/>
            <sz val="16"/>
            <rFont val="Tahoma"/>
            <family val="2"/>
            <charset val="204"/>
          </rPr>
          <t>Автор:</t>
        </r>
        <r>
          <rPr>
            <sz val="16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N48" authorId="0" shapeId="0" xr:uid="{1D387291-F193-40A1-910A-B487BAC8D36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48" authorId="0" shapeId="0" xr:uid="{CD1E1485-E9ED-4752-ADB2-EF6375E2F6A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48" authorId="0" shapeId="0" xr:uid="{37CE169A-C8ED-4DF6-8928-31D37A2DA15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48" authorId="0" shapeId="0" xr:uid="{A89D7012-9DEE-40E2-AA79-B4A87486898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48" authorId="0" shapeId="0" xr:uid="{FB0D07E3-F5C7-48F1-82B1-57A880B6C5C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48" authorId="0" shapeId="0" xr:uid="{A6D8849E-6B83-49D8-BDC6-F23AC0356027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Z48" authorId="3" shapeId="0" xr:uid="{9569F25B-7AB1-438A-865E-70BC4E8F662B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C49" authorId="3" shapeId="0" xr:uid="{CAC43427-5E93-46B9-829E-54E5D924B666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не нашла в регионально</t>
        </r>
        <r>
          <rPr>
            <sz val="9"/>
            <rFont val="Tahoma"/>
            <family val="2"/>
            <charset val="204"/>
          </rPr>
          <t>й</t>
        </r>
      </text>
    </comment>
    <comment ref="N49" authorId="0" shapeId="0" xr:uid="{119F873A-2C21-43D5-936E-D3BF39794B0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49" authorId="0" shapeId="0" xr:uid="{40D3D08E-FC25-4F3E-9260-0F49CA6981E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49" authorId="0" shapeId="0" xr:uid="{1F506BCC-ABB3-4E79-A5A7-D773FB823F0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49" authorId="0" shapeId="0" xr:uid="{3FB591FC-8AF0-4A3D-A2F9-CAFD6A47C2E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49" authorId="0" shapeId="0" xr:uid="{2046157A-08ED-4BF0-8E4C-B83A6F534C7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X49" authorId="0" shapeId="0" xr:uid="{A2DEC912-6137-4DBB-83DB-5FFC378DAAD6}">
      <text>
        <r>
          <rPr>
            <b/>
            <sz val="14"/>
            <rFont val="Tahoma"/>
            <family val="2"/>
            <charset val="204"/>
          </rPr>
          <t>Якубицкая Наталья 2022-2024</t>
        </r>
      </text>
    </comment>
    <comment ref="Y49" authorId="0" shapeId="0" xr:uid="{AF95AFAB-FF04-44A2-B2B6-865D49A3B2A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49" authorId="0" shapeId="0" xr:uid="{D9E05A1B-A0C6-4846-8A56-896147D130B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50" authorId="3" shapeId="0" xr:uid="{806089D1-5173-4485-8F02-1167C5BAA54E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N51" authorId="0" shapeId="0" xr:uid="{53D6CFDB-AF0F-4680-B04B-AD419052116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1" authorId="0" shapeId="0" xr:uid="{041B7FF8-6217-4EED-B50A-5F834C8B7A5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1" authorId="0" shapeId="0" xr:uid="{5215EE98-2300-47DB-B3C4-1A3092A010F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1" authorId="0" shapeId="0" xr:uid="{A63ECEC0-F60B-4316-8691-57E225A2D4B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51" authorId="0" shapeId="0" xr:uid="{8DB8785F-357E-44AE-A4F9-BF37C6A059A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52" authorId="0" shapeId="0" xr:uid="{22B31845-F960-4FB7-B33B-5C3C30EBC55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2" authorId="0" shapeId="0" xr:uid="{E7F8E912-BC51-4686-95FA-7A93B1F1BAC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2" authorId="0" shapeId="0" xr:uid="{7E9559F8-118C-4E66-9F06-E1F05F73CFD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2" authorId="0" shapeId="0" xr:uid="{191CCFFB-4DBE-4F19-908D-BFA2CFF05D0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S52" authorId="0" shapeId="0" xr:uid="{03CDEB86-5D37-46B5-9BDA-04751108B751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</t>
        </r>
      </text>
    </comment>
    <comment ref="T52" authorId="0" shapeId="0" xr:uid="{CD0BFBBC-0FAD-4484-A7CE-F62E0316AD9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52" authorId="3" shapeId="0" xr:uid="{459C18B7-D400-49A3-8A2F-5F85ABF79F62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</t>
        </r>
      </text>
    </comment>
    <comment ref="N53" authorId="0" shapeId="0" xr:uid="{0AC230F2-CAF4-42EA-84AF-03C4143C5AAF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53" authorId="0" shapeId="0" xr:uid="{B53D92B2-E3F0-46DE-8C2C-883A983C8D88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Q53" authorId="0" shapeId="0" xr:uid="{9BF172B3-EDCF-4BB1-93C2-E980F7528E3B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3" authorId="0" shapeId="0" xr:uid="{7E84C9B2-D75E-4960-A502-65493F60DC18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T53" authorId="0" shapeId="0" xr:uid="{88F0FD2D-A41E-47DC-B9CB-7CC074164058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54" authorId="0" shapeId="0" xr:uid="{E99BDBAD-04DA-476B-AAA4-4347212609B6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O54" authorId="0" shapeId="0" xr:uid="{112CC6B5-C0D0-4901-BAAC-89D29AE84DC4}">
      <text>
        <r>
          <rPr>
            <b/>
            <sz val="9"/>
            <rFont val="Tahoma"/>
            <family val="2"/>
            <charset val="204"/>
          </rPr>
          <t>Я</t>
        </r>
        <r>
          <rPr>
            <b/>
            <sz val="18"/>
            <rFont val="Tahoma"/>
            <family val="2"/>
            <charset val="204"/>
          </rPr>
          <t>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Q54" authorId="0" shapeId="0" xr:uid="{41ED8BC6-D38E-41F8-8904-6B04F3FE4E41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4" authorId="0" shapeId="0" xr:uid="{E0B10E0A-D494-4902-8B53-89783EECDA19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S54" authorId="0" shapeId="0" xr:uid="{6D9F8067-122E-49C6-8CA8-745B55965B07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 </t>
        </r>
      </text>
    </comment>
    <comment ref="T54" authorId="0" shapeId="0" xr:uid="{C2613275-CB65-4F36-9B29-521699A09E82}">
      <text>
        <r>
          <rPr>
            <b/>
            <sz val="9"/>
            <rFont val="Tahoma"/>
            <family val="2"/>
            <charset val="204"/>
          </rPr>
          <t>Я</t>
        </r>
        <r>
          <rPr>
            <b/>
            <sz val="16"/>
            <rFont val="Tahoma"/>
            <family val="2"/>
            <charset val="204"/>
          </rPr>
          <t>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X54" authorId="0" shapeId="0" xr:uid="{338E4533-3325-4330-B2F0-385CDE060A0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54" authorId="3" shapeId="0" xr:uid="{90062625-0FC9-4240-BCA5-F86C93946F9C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2022-2024</t>
        </r>
      </text>
    </comment>
    <comment ref="AA54" authorId="2" shapeId="0" xr:uid="{9DB097E3-3A42-48BD-AED4-C2A3AAFB83FE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подвал+фундамент 1073556</t>
        </r>
      </text>
    </comment>
    <comment ref="N55" authorId="0" shapeId="0" xr:uid="{56C3EE15-095F-4AA1-9ACB-EFAF726D4FA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O55" authorId="0" shapeId="0" xr:uid="{673C6F30-5E5C-4001-82E0-AB68FE1737E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Q55" authorId="0" shapeId="0" xr:uid="{28ABB255-2FB9-4BF4-96E9-A213C3E6027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55" authorId="0" shapeId="0" xr:uid="{F07C0081-966F-4251-904E-15971A69CAE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5" authorId="0" shapeId="0" xr:uid="{587ABD68-ED14-4D06-B6C2-7C8D4882751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T56" authorId="0" shapeId="0" xr:uid="{43218CF3-EC48-4D44-A949-415D9D5C739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AA56" authorId="2" shapeId="0" xr:uid="{FE5AFE9D-2053-49DC-A557-AA9094C17B0C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336808,8 кан
</t>
        </r>
      </text>
    </comment>
    <comment ref="N57" authorId="0" shapeId="0" xr:uid="{2B365C28-0A37-4821-BB4A-3970EB5A67FC}">
      <text>
        <r>
          <rPr>
            <b/>
            <sz val="20"/>
            <rFont val="Tahoma"/>
            <family val="2"/>
            <charset val="204"/>
          </rPr>
          <t>Якубицкая Наталья Николаевна:</t>
        </r>
        <r>
          <rPr>
            <sz val="20"/>
            <rFont val="Tahoma"/>
            <family val="2"/>
            <charset val="204"/>
          </rPr>
          <t xml:space="preserve">
2021-2023</t>
        </r>
      </text>
    </comment>
    <comment ref="O57" authorId="0" shapeId="0" xr:uid="{2C0E1FA1-4AB4-495A-8ED9-39CA99506D6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7" authorId="0" shapeId="0" xr:uid="{999640F5-F6F1-44E0-94A9-E1A35D9FA3F9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R57" authorId="0" shapeId="0" xr:uid="{D36439D8-7EBD-456E-B5A3-968E077ED174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T57" authorId="0" shapeId="0" xr:uid="{82B92395-CB5A-43DE-8339-EA2A316182CF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W58" authorId="0" shapeId="0" xr:uid="{2B7C0C67-6F3C-4BC9-BD39-4819925E5B0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59" authorId="0" shapeId="0" xr:uid="{9429D5E5-BE51-4A46-BA88-11455487A78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59" authorId="0" shapeId="0" xr:uid="{01B0B5D6-DBB1-41EE-BBC2-CB60E088457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59" authorId="0" shapeId="0" xr:uid="{327A2203-065F-4ED2-8C97-546478E374E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59" authorId="0" shapeId="0" xr:uid="{92D4B506-5A66-4F4A-A4EA-68C78AE2106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59" authorId="0" shapeId="0" xr:uid="{84CB0FC0-B2BC-49A0-B58A-97246F8082C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59" authorId="0" shapeId="0" xr:uid="{213C9B95-920F-4D6E-BF28-9F1F0AFA40D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59" authorId="0" shapeId="0" xr:uid="{27A2AE7A-C972-4D60-8366-E7BC2BDCCE8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60" authorId="0" shapeId="0" xr:uid="{CBA290D9-395B-417B-88E1-11EB8D3DF22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60" authorId="0" shapeId="0" xr:uid="{592019C6-A2A1-4577-8459-7DD3ECB7855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60" authorId="0" shapeId="0" xr:uid="{4F9A7B15-BF59-4AD8-A804-9DBC734D548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AA60" authorId="2" shapeId="0" xr:uid="{A1C50F5A-70D1-4916-B600-3360E8A544B4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630622,80 фасад
</t>
        </r>
      </text>
    </comment>
    <comment ref="N61" authorId="0" shapeId="0" xr:uid="{D633FBEB-992D-48C3-BCF2-7315D5D4331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61" authorId="0" shapeId="0" xr:uid="{444511E4-0386-4390-87AC-E017C21A39B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61" authorId="0" shapeId="0" xr:uid="{90F78A2C-4460-416C-A4C4-B527C50EF3A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1" authorId="0" shapeId="0" xr:uid="{7B3A00FD-9EFC-4A0F-9968-4AFEF05152D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61" authorId="0" shapeId="0" xr:uid="{FF4D063A-91BC-4F53-A987-4F5D7A94A4C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61" authorId="0" shapeId="0" xr:uid="{BD8009B2-12A3-45AF-82F8-97F69B295E4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61" authorId="3" shapeId="0" xr:uid="{9F20DA77-C831-4C27-AA81-046B07E82257}">
      <text>
        <r>
          <rPr>
            <b/>
            <sz val="14"/>
            <rFont val="Tahoma"/>
            <family val="2"/>
            <charset val="204"/>
          </rPr>
          <t>Автор:</t>
        </r>
        <r>
          <rPr>
            <sz val="14"/>
            <rFont val="Tahoma"/>
            <family val="2"/>
            <charset val="204"/>
          </rPr>
          <t xml:space="preserve">
ремонт фундамента без отмостки
2021-2023</t>
        </r>
      </text>
    </comment>
    <comment ref="AA61" authorId="2" shapeId="0" xr:uid="{2E56960C-D03C-4DB3-B85D-FF36932AFE93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577323,6-фасад</t>
        </r>
      </text>
    </comment>
    <comment ref="N64" authorId="0" shapeId="0" xr:uid="{41A03FF2-1531-4299-8384-5A2F7D97871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64" authorId="0" shapeId="0" xr:uid="{6C1785CB-02A9-4EAE-BFFC-4168E43B06B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64" authorId="0" shapeId="0" xr:uid="{DC36C262-D52C-4AD6-8B2C-BA01651595E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64" authorId="0" shapeId="0" xr:uid="{89C99E13-9398-4334-97FA-4B98C3196BA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64" authorId="0" shapeId="0" xr:uid="{4B19BE47-2898-4C89-A152-30CDD30E07D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N67" authorId="0" shapeId="0" xr:uid="{5C6F9ABA-55C9-47B6-902D-D6AB998341F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2023-2026</t>
        </r>
      </text>
    </comment>
    <comment ref="O67" authorId="0" shapeId="0" xr:uid="{59BA8D70-A997-47D9-B317-A0AD14A32FD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67" authorId="0" shapeId="0" xr:uid="{5F91FF3D-201A-4920-B39A-54BFA9CF4E0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67" authorId="0" shapeId="0" xr:uid="{3288DBDC-2905-45BA-96A7-54C3E89FB41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67" authorId="0" shapeId="0" xr:uid="{EBE2C8A6-3467-4D52-81DC-1606DF95905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68" authorId="0" shapeId="0" xr:uid="{BF3BC09B-1AE3-4EFE-A990-5E956E6D0669}">
      <text>
        <r>
          <rPr>
            <b/>
            <sz val="14"/>
            <rFont val="Tahoma"/>
            <family val="2"/>
            <charset val="204"/>
          </rPr>
          <t>Якубицкая Наталья Николаевна:
2023-2025</t>
        </r>
      </text>
    </comment>
    <comment ref="W70" authorId="0" shapeId="0" xr:uid="{D63445F5-C724-48BC-8BB3-FF332BBA33D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71" authorId="0" shapeId="0" xr:uid="{EC3D84BC-359D-4EF5-845A-6D851B390D1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N72" authorId="0" shapeId="0" xr:uid="{864057FA-3953-4DF2-BB03-C0B4134A88B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N73" authorId="0" shapeId="0" xr:uid="{82823489-8A22-426D-A12D-DC962440768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73" authorId="0" shapeId="0" xr:uid="{2D2069AC-ACB1-4E68-856B-271BCFC9B31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73" authorId="0" shapeId="0" xr:uid="{9A835811-AC8F-4FB4-A2A8-6CF83C17EF2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73" authorId="0" shapeId="0" xr:uid="{DC0ABB7A-E619-4DE1-8EBF-86A7BE16057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73" authorId="0" shapeId="0" xr:uid="{76CB5162-C13D-4EC9-B6B2-92DB9BA2D8D8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2021-2023</t>
        </r>
      </text>
    </comment>
    <comment ref="N74" authorId="0" shapeId="0" xr:uid="{A5C747E2-7D36-400D-BA19-4143BDEEC01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O74" authorId="0" shapeId="0" xr:uid="{ED68251C-6CA2-46AB-99C0-D7903235AB4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4" authorId="0" shapeId="0" xr:uid="{84E9A723-4269-4707-A4DE-0F22555FEA5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R74" authorId="0" shapeId="0" xr:uid="{EC1312FA-AF04-4DEF-A247-2A5E93FDEE2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T74" authorId="0" shapeId="0" xr:uid="{0B6E0364-3421-4B6A-90F2-1D8072510F9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AA74" authorId="2" shapeId="0" xr:uid="{3557C9B3-698E-4814-A36D-A4D2182EF1DC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665795,20 отопл</t>
        </r>
      </text>
    </comment>
    <comment ref="X75" authorId="0" shapeId="0" xr:uid="{93CB23C2-E4B3-4364-AC8C-E0B6A1E53FF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75" authorId="0" shapeId="0" xr:uid="{02846699-4FAD-47E2-9AC2-23C05C6DBCE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2024-2026</t>
        </r>
      </text>
    </comment>
    <comment ref="Z75" authorId="0" shapeId="0" xr:uid="{18354F90-C44B-4562-A70A-E0A857598D2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76" authorId="0" shapeId="0" xr:uid="{B87573E5-2BAD-4AD8-B8D3-76C9FA3BAD6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N77" authorId="0" shapeId="0" xr:uid="{E51B631B-6580-4B07-9CA5-C473D21020F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O77" authorId="0" shapeId="0" xr:uid="{FA5279F9-22F0-4DD6-8DE8-C7E1DE81F0B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77" authorId="0" shapeId="0" xr:uid="{B69F79CD-96BE-4724-A86A-1455F6DBC99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77" authorId="0" shapeId="0" xr:uid="{0573F85A-068E-43B5-8A0B-BA3CB0AAB58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77" authorId="0" shapeId="0" xr:uid="{0C07E7AB-D74C-4919-A0C9-50683D11202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X78" authorId="0" shapeId="0" xr:uid="{F85A572C-5A5D-42F0-93C4-D67A20D934B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78" authorId="2" shapeId="0" xr:uid="{320F1783-1472-4746-BA76-C6D2627A1FB1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2021-2023</t>
        </r>
      </text>
    </comment>
    <comment ref="Z78" authorId="0" shapeId="0" xr:uid="{EDA990F9-2817-42C4-BE37-BF9502127598}">
      <text>
        <r>
          <rPr>
            <b/>
            <sz val="18"/>
            <rFont val="Tahoma"/>
            <family val="2"/>
            <charset val="204"/>
          </rPr>
          <t>Якубицкая Наталья Николаевна:</t>
        </r>
        <r>
          <rPr>
            <sz val="18"/>
            <rFont val="Tahoma"/>
            <family val="2"/>
            <charset val="204"/>
          </rPr>
          <t xml:space="preserve">
2021-2023</t>
        </r>
      </text>
    </comment>
    <comment ref="W79" authorId="0" shapeId="0" xr:uid="{D6EC2743-169B-4405-9921-CBE844CE79A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W80" authorId="0" shapeId="0" xr:uid="{5F61A0C0-7E6C-47F4-BA3F-23B4BA14935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81" authorId="0" shapeId="0" xr:uid="{8927DE6F-6F2C-4E57-849F-A6A8F5F67BF2}">
      <text>
        <r>
          <rPr>
            <b/>
            <sz val="12"/>
            <rFont val="Tahoma"/>
            <family val="2"/>
            <charset val="204"/>
          </rPr>
          <t>Якубицкая Наталья Николаевна:</t>
        </r>
        <r>
          <rPr>
            <sz val="12"/>
            <rFont val="Tahoma"/>
            <family val="2"/>
            <charset val="204"/>
          </rPr>
          <t xml:space="preserve">
2023-2025</t>
        </r>
      </text>
    </comment>
    <comment ref="N82" authorId="0" shapeId="0" xr:uid="{5478CEA4-ED4E-43B3-A085-920E0841115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82" authorId="0" shapeId="0" xr:uid="{1C120AFB-D9B2-4159-BEC3-3D5BEB7C74B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T82" authorId="0" shapeId="0" xr:uid="{8468A95B-CD4D-42AB-A648-249B2AFB36A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83" authorId="0" shapeId="0" xr:uid="{EC720488-AF54-484B-BC8D-CD323C33911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83" authorId="2" shapeId="0" xr:uid="{390B5C94-3B57-4FE6-8501-EA71B242EC78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>1446368,40 крыша</t>
        </r>
      </text>
    </comment>
    <comment ref="W84" authorId="0" shapeId="0" xr:uid="{3491DD82-D12A-4F35-98D0-C2926E21F7D7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U85" authorId="0" shapeId="0" xr:uid="{6E43CB8A-6637-400C-AC35-420C8ECEBEF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X85" authorId="0" shapeId="0" xr:uid="{BA3D505A-7D2B-4A35-918B-4E33D9A837C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85" authorId="0" shapeId="0" xr:uid="{AB74A3A5-EB01-4840-AFF8-C29B3C94C87A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85" authorId="3" shapeId="0" xr:uid="{1AA1B92A-A3CD-4C17-B179-96EC8546AAA3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</t>
        </r>
        <r>
          <rPr>
            <sz val="14"/>
            <rFont val="Tahoma"/>
            <family val="2"/>
            <charset val="204"/>
          </rPr>
          <t>ремонт фундамента без отмостки
2021-2023</t>
        </r>
      </text>
    </comment>
    <comment ref="Y86" authorId="0" shapeId="0" xr:uid="{4F8FFBEE-6726-44EB-A500-9C1B60DFF8F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Y87" authorId="0" shapeId="0" xr:uid="{1E9F81D2-4A0A-4F0D-B155-00BCA5AF26E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Q88" authorId="0" shapeId="0" xr:uid="{59ED3449-2A2F-4BA3-BC87-9C5C095D9E9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R88" authorId="0" shapeId="0" xr:uid="{19251C4B-19D9-4F12-80A7-9B89CF3AC358}">
      <text>
        <r>
          <rPr>
            <b/>
            <sz val="14"/>
            <rFont val="Tahoma"/>
            <family val="2"/>
            <charset val="204"/>
          </rPr>
          <t>сделан в 2014 году</t>
        </r>
      </text>
    </comment>
    <comment ref="T88" authorId="0" shapeId="0" xr:uid="{36E4A210-3CF0-42B5-9F8D-73CC5640577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Y88" authorId="0" shapeId="0" xr:uid="{4420CD78-5848-4DBA-AB5F-35D6470425F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удален фасад</t>
        </r>
      </text>
    </comment>
    <comment ref="X90" authorId="0" shapeId="0" xr:uid="{DA6B19EA-5052-4074-B05C-41135931137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0" authorId="0" shapeId="0" xr:uid="{C91FA0F7-00E2-449A-839C-C656BA8AE43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90" authorId="3" shapeId="0" xr:uid="{5451465E-7F46-4C6A-B427-91AA0C2E69F0}">
      <text>
        <r>
          <rPr>
            <b/>
            <sz val="18"/>
            <rFont val="Tahoma"/>
            <family val="2"/>
            <charset val="204"/>
          </rPr>
          <t>Якубицкая:</t>
        </r>
        <r>
          <rPr>
            <sz val="18"/>
            <rFont val="Tahoma"/>
            <family val="2"/>
            <charset val="204"/>
          </rPr>
          <t xml:space="preserve">
ремонт </t>
        </r>
        <r>
          <rPr>
            <sz val="14"/>
            <rFont val="Tahoma"/>
            <family val="2"/>
            <charset val="204"/>
          </rPr>
          <t>фундамента без отмостки
2021-2023</t>
        </r>
      </text>
    </comment>
    <comment ref="X91" authorId="0" shapeId="0" xr:uid="{A5041A71-411A-4E01-AAAA-ECD539F4B0F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1" authorId="0" shapeId="0" xr:uid="{B52714F4-1F0B-4115-BDA9-893E71282093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91" authorId="0" shapeId="0" xr:uid="{AF947DDC-FFEE-4DBB-A9C6-6EAA2FA099D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2" authorId="0" shapeId="0" xr:uid="{89143E28-B1B1-4DC0-8F55-3A74DCA8BAA4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93" authorId="0" shapeId="0" xr:uid="{3A7293F7-CBD2-4DA0-BB09-16023A92A86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R94" authorId="0" shapeId="0" xr:uid="{591DD7C1-46AC-418D-9C68-81BA91D4E61C}">
      <text>
        <r>
          <rPr>
            <b/>
            <sz val="16"/>
            <rFont val="Tahoma"/>
            <family val="2"/>
            <charset val="204"/>
          </rPr>
          <t>Якубицкая Наталья Николаевна:</t>
        </r>
        <r>
          <rPr>
            <sz val="16"/>
            <rFont val="Tahoma"/>
            <family val="2"/>
            <charset val="204"/>
          </rPr>
          <t xml:space="preserve">
ВДП, т.к.при выполнении КР системы ГВС в 2016 году ВДП не менялся</t>
        </r>
      </text>
    </comment>
    <comment ref="N96" authorId="0" shapeId="0" xr:uid="{490E50D5-1DC5-4A90-9B4C-AB704F72751F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6" authorId="0" shapeId="0" xr:uid="{B4425035-4627-42AF-B48C-8DE958667395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Y96" authorId="0" shapeId="0" xr:uid="{D6005B39-F302-4EE8-892B-319738AF69B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Z96" authorId="0" shapeId="0" xr:uid="{A9EDDCAE-A8B7-41BB-9716-A8596EC0052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2022-2024</t>
        </r>
      </text>
    </comment>
    <comment ref="AA96" authorId="2" shapeId="0" xr:uid="{A78AC0F0-8059-4182-8F41-87A8AF622D7F}">
      <text>
        <r>
          <rPr>
            <b/>
            <sz val="9"/>
            <rFont val="Tahoma"/>
            <family val="2"/>
            <charset val="204"/>
          </rPr>
          <t>User:</t>
        </r>
        <r>
          <rPr>
            <sz val="9"/>
            <rFont val="Tahoma"/>
            <family val="2"/>
            <charset val="204"/>
          </rPr>
          <t xml:space="preserve">
</t>
        </r>
        <r>
          <rPr>
            <sz val="16"/>
            <rFont val="Tahoma"/>
            <family val="2"/>
            <charset val="204"/>
          </rPr>
          <t xml:space="preserve">850110 фас,фунд
</t>
        </r>
      </text>
    </comment>
    <comment ref="N97" authorId="0" shapeId="0" xr:uid="{79C2E627-7FDC-4EAD-8B0A-1EC5D6E11DC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97" authorId="0" shapeId="0" xr:uid="{6B61B084-0B60-4C0B-8209-CEA38AF8C9AC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97" authorId="0" shapeId="0" xr:uid="{AD401AF8-B575-422B-810C-B92440A167E1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97" authorId="0" shapeId="0" xr:uid="{09D60ACC-ED00-4153-A6A3-1984F934013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97" authorId="0" shapeId="0" xr:uid="{1F532A7A-3EF7-47A8-9547-DB52A8F1E999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Z98" authorId="3" shapeId="0" xr:uid="{5BC463EA-6CBC-4191-AE80-B1AD8934F5B4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Z99" authorId="3" shapeId="0" xr:uid="{50FD62DB-A968-4BC9-BCBC-6D91FC3D1CAE}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ремонт фундамента без отмостки
</t>
        </r>
      </text>
    </comment>
    <comment ref="N100" authorId="0" shapeId="0" xr:uid="{EC8E5A9B-EFB2-4BFC-95D6-30F33618D24B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O100" authorId="0" shapeId="0" xr:uid="{E1C6FC62-29AC-4343-B415-460A1D1D1838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Q100" authorId="0" shapeId="0" xr:uid="{4372D5DE-0D0C-4270-B62F-142A2E11871E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R100" authorId="0" shapeId="0" xr:uid="{6771F8B9-9978-4C30-B777-C907EA0339E6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T100" authorId="0" shapeId="0" xr:uid="{3786A8AB-E114-40BF-B2DE-E5A5678025ED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101" authorId="0" shapeId="0" xr:uid="{146A01F8-0F7A-4082-AC2B-325126569E52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2023-2025</t>
        </r>
      </text>
    </comment>
    <comment ref="W102" authorId="0" shapeId="0" xr:uid="{6FA0AD4C-2A25-451E-B288-B19A3D2C790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  <comment ref="W103" authorId="0" shapeId="0" xr:uid="{E50F8D56-26BF-4B4E-B980-1C1E25D6DC20}">
      <text>
        <r>
          <rPr>
            <b/>
            <sz val="14"/>
            <rFont val="Tahoma"/>
            <family val="2"/>
            <charset val="204"/>
          </rPr>
          <t>Якубицкая Наталья Николаевна:</t>
        </r>
        <r>
          <rPr>
            <sz val="14"/>
            <rFont val="Tahoma"/>
            <family val="2"/>
            <charset val="204"/>
          </rPr>
          <t xml:space="preserve">
2021-2023</t>
        </r>
      </text>
    </comment>
  </commentList>
</comments>
</file>

<file path=xl/sharedStrings.xml><?xml version="1.0" encoding="utf-8"?>
<sst xmlns="http://schemas.openxmlformats.org/spreadsheetml/2006/main" count="735" uniqueCount="272">
  <si>
    <t xml:space="preserve">Перечень многоквартирных домов, включенных в краткосрочный план реализации региональной программы </t>
  </si>
  <si>
    <t>с учетом предложений регионального оператора</t>
  </si>
  <si>
    <t>№ п/п</t>
  </si>
  <si>
    <t>Наименование улицы</t>
  </si>
  <si>
    <t>Номер дома, корпуса</t>
  </si>
  <si>
    <t>Перечень работ</t>
  </si>
  <si>
    <t>Плановая стоимость работ в соответствии с краткосрочным планом реализации региональной программы капитального ремонта общего имущества в многоквартирных домах, руб.</t>
  </si>
  <si>
    <t>разработка проектной документации</t>
  </si>
  <si>
    <t>итого</t>
  </si>
  <si>
    <t>ул. Академика Павлова</t>
  </si>
  <si>
    <t>ремонт крыши</t>
  </si>
  <si>
    <t>ремонт системы электроснабжения</t>
  </si>
  <si>
    <t>ремонт системы теплоснабжения</t>
  </si>
  <si>
    <t>ремонт системы холодного водоснабжения</t>
  </si>
  <si>
    <t>ремонт системы горячего водоснабжения</t>
  </si>
  <si>
    <t>ремонт системы водоотведения</t>
  </si>
  <si>
    <t>ремонт фасада</t>
  </si>
  <si>
    <t>ремонт фундамента</t>
  </si>
  <si>
    <t>ул. Алексея Хлобыстова</t>
  </si>
  <si>
    <t>20 корп. 2</t>
  </si>
  <si>
    <t>ремонт системы газоснабжения</t>
  </si>
  <si>
    <t>ул. Комсомольская</t>
  </si>
  <si>
    <t>пр. Ленина</t>
  </si>
  <si>
    <t>ул. Октябрьская</t>
  </si>
  <si>
    <t>ул. Олега Кошевого</t>
  </si>
  <si>
    <t>6 корп. 1</t>
  </si>
  <si>
    <t>пр-д Рыбный</t>
  </si>
  <si>
    <t>ул. Свердлова</t>
  </si>
  <si>
    <t>6 корп. 3</t>
  </si>
  <si>
    <t>ремонт подвальных помещений</t>
  </si>
  <si>
    <t>ул. Чумбарова-Лучинского</t>
  </si>
  <si>
    <t>46 корп. 1</t>
  </si>
  <si>
    <t xml:space="preserve"> Приложение</t>
  </si>
  <si>
    <t>Адрес</t>
  </si>
  <si>
    <t>ХВС                     (руб.)</t>
  </si>
  <si>
    <t>Установка ВДП, включая регулятор температуры       (руб.)</t>
  </si>
  <si>
    <t xml:space="preserve">Л                             (руб.) </t>
  </si>
  <si>
    <t>К                                 (руб.)</t>
  </si>
  <si>
    <t>РФ                        (руб.)</t>
  </si>
  <si>
    <t>всего:                           (руб.)</t>
  </si>
  <si>
    <t>за счет средств собственников помещений в МКД                                     (руб.)</t>
  </si>
  <si>
    <t>*</t>
  </si>
  <si>
    <t>УО</t>
  </si>
  <si>
    <t>ОО</t>
  </si>
  <si>
    <t>ОКН</t>
  </si>
  <si>
    <t>ТСН</t>
  </si>
  <si>
    <t>ТСЖ</t>
  </si>
  <si>
    <t>Условные обозначения:</t>
  </si>
  <si>
    <t>* – сведения отсутствуют;</t>
  </si>
  <si>
    <t>ЭЛ – ремонт внутридомовых инженерных систем электроснабжения;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</si>
  <si>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</si>
  <si>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</si>
  <si>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</si>
  <si>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</si>
  <si>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</si>
  <si>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</si>
  <si>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</si>
  <si>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</si>
  <si>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Населенный пункт</t>
  </si>
  <si>
    <t>Год ввода в эксплуатацию</t>
  </si>
  <si>
    <t>Количество этажей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</si>
  <si>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</si>
  <si>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</si>
  <si>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</si>
  <si>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</si>
  <si>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Стоимость капитального  ремонта по видам услуг и (или) работ по капитальному ремонту общего имущества в МКД, в том числе:</t>
  </si>
  <si>
    <t>Плановый год начала выполнения работ</t>
  </si>
  <si>
    <t>Плановый год завершения выполнения работ</t>
  </si>
  <si>
    <t>в том числе жилых помещений, находящихся в собственности граждан (кв.м)</t>
  </si>
  <si>
    <t>Мурманск</t>
  </si>
  <si>
    <t>ул. Володарского</t>
  </si>
  <si>
    <t xml:space="preserve"> к  постановлению администрации</t>
  </si>
  <si>
    <t xml:space="preserve"> города Мурманска</t>
  </si>
  <si>
    <t xml:space="preserve">       от 06.05.2022 № 1152      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</si>
  <si>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2014-2043 годы муниципальным образованием город Мурманск на 2023-2025 годы                                                             </t>
  </si>
  <si>
    <t xml:space="preserve">                  </t>
  </si>
  <si>
    <t xml:space="preserve">         </t>
  </si>
  <si>
    <t>Общая площадь МКД, всего                                                      (кв.м)</t>
  </si>
  <si>
    <t>Источники финнасирования</t>
  </si>
  <si>
    <t>всего: (кв.м)</t>
  </si>
  <si>
    <t>ремонт внутридомовых инженерных систем</t>
  </si>
  <si>
    <t>П                                    (руб.)</t>
  </si>
  <si>
    <t>Ф                               (руб.)</t>
  </si>
  <si>
    <t>ПД                         (руб.)</t>
  </si>
  <si>
    <t>СК                       (руб.)</t>
  </si>
  <si>
    <t xml:space="preserve">за счет средств областного бюджета (руб.) </t>
  </si>
  <si>
    <t xml:space="preserve">за счет средств местного бюджета (руб.) </t>
  </si>
  <si>
    <t>всего, в том числе:</t>
  </si>
  <si>
    <t>ЭЛ                          (руб.)</t>
  </si>
  <si>
    <t>ТС                              (руб.)</t>
  </si>
  <si>
    <t>ИТП                              (руб.)</t>
  </si>
  <si>
    <t>ГВС                                 (руб.)</t>
  </si>
  <si>
    <t>В                          (руб.)</t>
  </si>
  <si>
    <t>ГС                            (руб.)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</si>
  <si>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</si>
  <si>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ул. Адмирала флота Лобова,  д. 44</t>
  </si>
  <si>
    <t>НКО "ФКР МО"</t>
  </si>
  <si>
    <t>ул. Адмирала флота Лобова,  д. 47</t>
  </si>
  <si>
    <t>ул. Академика Павлова,               д. 2</t>
  </si>
  <si>
    <t>ул. Академика Павлова,                     д. 59</t>
  </si>
  <si>
    <t>ул. Алексея Хлобыстова,                 д. 20 корп. 2</t>
  </si>
  <si>
    <t>ул. Володарского,                        д. 3</t>
  </si>
  <si>
    <t>ул. Володарского,                          д. 13</t>
  </si>
  <si>
    <t>ул. Капитана Копытова,                   д. 41</t>
  </si>
  <si>
    <t>ул. Карла Либкнехта,                          д. 21/22</t>
  </si>
  <si>
    <t xml:space="preserve">ул. Коммуны,                              д. 18 </t>
  </si>
  <si>
    <t>ул. Коммуны,                              д. 20</t>
  </si>
  <si>
    <t>ул. Комсомольская,                               д. 3А</t>
  </si>
  <si>
    <t>пр. Ленина,                                     д. 67</t>
  </si>
  <si>
    <t>пр. Ленина,                                           д. 79</t>
  </si>
  <si>
    <t xml:space="preserve">пр. Ленина,                                       д. 80 </t>
  </si>
  <si>
    <t>ул. Ломоносова,                                                               д. 13</t>
  </si>
  <si>
    <t>ул. Морская,                                     д. 5</t>
  </si>
  <si>
    <t>ул. Октябрьская,                            д. 22</t>
  </si>
  <si>
    <t>ул. Олега Кошевого,                         д. 4</t>
  </si>
  <si>
    <t>ул. Олега Кошевого,                    д. 6 корп. 1</t>
  </si>
  <si>
    <t>ул. Олега Кошевого,                      д. 16 корп. 2</t>
  </si>
  <si>
    <t>ул. Планерная,                             д. 3</t>
  </si>
  <si>
    <t>ул. Полярный Круг,                    д. 2</t>
  </si>
  <si>
    <t>пер. Русанова,                                 д. 3</t>
  </si>
  <si>
    <t>пр-д Рыбный,                                   д. 4</t>
  </si>
  <si>
    <t>ул. Свердлова,                               д. 6 корп. 3</t>
  </si>
  <si>
    <t>ул. Свердлова,                           д. 54</t>
  </si>
  <si>
    <t>ул. Софьи Перовской,                  д. 10</t>
  </si>
  <si>
    <t>ул. Чумбарова-Лучинского,   д. 46 корп. 1</t>
  </si>
  <si>
    <t>Итого по муниципальному образованию                 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</si>
  <si>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</si>
  <si>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ул. Адмирала флота Лобова,  д. 34</t>
  </si>
  <si>
    <t>ул. Адмирала флота Лобова,  д. 39/13</t>
  </si>
  <si>
    <t>ул. Володарского,                      д. 7</t>
  </si>
  <si>
    <t>ул. Карла Либкнехта,                   д. 23</t>
  </si>
  <si>
    <t>ул. Карла Либкнехта,                    д. 25</t>
  </si>
  <si>
    <t>ул. Коммуны,                           д. 20</t>
  </si>
  <si>
    <t xml:space="preserve">пр. Ленина,                                   д. 81 </t>
  </si>
  <si>
    <t xml:space="preserve">пр. Ленина,                                  д. 83 </t>
  </si>
  <si>
    <t xml:space="preserve">пр. Ленина,                                      д. 85 </t>
  </si>
  <si>
    <t>пр. Ленина,                                         д. 92</t>
  </si>
  <si>
    <t>пр. Ленина,                                         д. 94</t>
  </si>
  <si>
    <t>пр. Ленина,                                       д. 95</t>
  </si>
  <si>
    <t>ул. Октябрьская,                             д. 1</t>
  </si>
  <si>
    <t>ул. Октябрьская,                               д. 17</t>
  </si>
  <si>
    <t>спецсчет</t>
  </si>
  <si>
    <t>ул. Сафонова,                                 д. 32/19</t>
  </si>
  <si>
    <t>пер. Терский,                                   д. 3</t>
  </si>
  <si>
    <t>пер. Терский,                                        д. 9</t>
  </si>
  <si>
    <t>ул. Челюскинцев,                     д. 7</t>
  </si>
  <si>
    <t>ул. Челюскинцев,                             д. 18/20</t>
  </si>
  <si>
    <t>ул. Челюскинцев,                              д. 20</t>
  </si>
  <si>
    <t>Итого по муниципальному образованию         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</si>
  <si>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</si>
  <si>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 xml:space="preserve">Мурманск </t>
  </si>
  <si>
    <t>ул. Адмирала флота Лобова,   д. 37</t>
  </si>
  <si>
    <t>ул. Адмирала флота Лобова,    д. 49/17</t>
  </si>
  <si>
    <t>ул. Академика Книповича,    д. 9А</t>
  </si>
  <si>
    <t>ул. Александра Невского,              д. 88</t>
  </si>
  <si>
    <t>ул. Алексея Генералова,              д. 2/18</t>
  </si>
  <si>
    <t>ул. Володарского,                    д. 10</t>
  </si>
  <si>
    <t>ул. Володарского,                       д. 12</t>
  </si>
  <si>
    <t>ул. Дзержинского,                       д. 2/33</t>
  </si>
  <si>
    <t>ул. Карла Либкнехта,                д. 27</t>
  </si>
  <si>
    <t>ул. Карла Либкнехта,                    д. 42</t>
  </si>
  <si>
    <t>пр. Ленина,                                  д. 68</t>
  </si>
  <si>
    <t>пр. Ленина,                                  д. 100</t>
  </si>
  <si>
    <t>ул.Нахимова,                           д. 11</t>
  </si>
  <si>
    <t>ул.Нахимова,                                  д. 25</t>
  </si>
  <si>
    <t>ул.Нахимова,                                  д. 31</t>
  </si>
  <si>
    <t>ул. Октябрьская,                             д. 9</t>
  </si>
  <si>
    <t>ул. Октябрьская,                         д. 21</t>
  </si>
  <si>
    <t>ул. Октябрьская,                           д. 23</t>
  </si>
  <si>
    <t>ул. Октябрьская,                       д. 24</t>
  </si>
  <si>
    <t>ул. Полярные Зори,                  д. 27 корп. 2</t>
  </si>
  <si>
    <t>ул. Полярные Зори,                   д. 33 корп.1</t>
  </si>
  <si>
    <t>ул. Привокзальная,                       д. 16</t>
  </si>
  <si>
    <t>ул. Профсоюзов,                                      д. 24</t>
  </si>
  <si>
    <t>ул. Радищева,                                        д. 12</t>
  </si>
  <si>
    <t>ул. Радищева,                                              д. 14</t>
  </si>
  <si>
    <t xml:space="preserve">ул. Радищева,                                         д. 16 </t>
  </si>
  <si>
    <t xml:space="preserve">ул. Радищева,                             д. 18 </t>
  </si>
  <si>
    <t>ул. Сафонова,                          д. 19</t>
  </si>
  <si>
    <t>ул. Сафонова,                           д. 20, корп. 2</t>
  </si>
  <si>
    <t>ул. Сафонова,                             д. 21</t>
  </si>
  <si>
    <t>ул. Сафонова,                             д. 24/26</t>
  </si>
  <si>
    <t>Мурманск (Росляково)</t>
  </si>
  <si>
    <t>ш. Североморское,                    д. 8</t>
  </si>
  <si>
    <t>ш. Североморское,                    д. 9</t>
  </si>
  <si>
    <t>ул. Софьи Перовской,              д. 6</t>
  </si>
  <si>
    <t>ул. Софьи Перовской,              д. 27</t>
  </si>
  <si>
    <t>ул. Софьи Перовской,              д. 31/11</t>
  </si>
  <si>
    <t>ул. Шмидта,                              д. 11</t>
  </si>
  <si>
    <t>спец. счет</t>
  </si>
  <si>
    <t>Итого по муниципальному образованию                город Мурманск на 2025 год</t>
  </si>
  <si>
    <t>Итого по муниципальному образованию         город Мурманск на 2023-2025 годы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</si>
  <si>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период 2023-2025 годов</t>
  </si>
  <si>
    <t xml:space="preserve"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2023 год
</t>
  </si>
  <si>
    <t>Общая площадь МКД, всего:                                                                                                              (кв.м)</t>
  </si>
  <si>
    <t>Стоимость работ капитального ремонта внутридомовых инженерных систем (руб.)</t>
  </si>
  <si>
    <t xml:space="preserve">Л                          (руб.)  </t>
  </si>
  <si>
    <t>К                           (руб.)</t>
  </si>
  <si>
    <t>П                            (руб.)</t>
  </si>
  <si>
    <t>Ф                           (руб.)</t>
  </si>
  <si>
    <t>РФ                      (руб.)</t>
  </si>
  <si>
    <t>ПД                          (руб.)</t>
  </si>
  <si>
    <t>СК                        (руб.)</t>
  </si>
  <si>
    <t xml:space="preserve">Плановые периоды выполнения работ </t>
  </si>
  <si>
    <t xml:space="preserve">всего, в том числе:  </t>
  </si>
  <si>
    <t xml:space="preserve">ЭЛ                    </t>
  </si>
  <si>
    <t xml:space="preserve">ТС                                </t>
  </si>
  <si>
    <t xml:space="preserve">ИТП  </t>
  </si>
  <si>
    <t xml:space="preserve">ХВС                </t>
  </si>
  <si>
    <t xml:space="preserve">ГВС                </t>
  </si>
  <si>
    <t xml:space="preserve">ВДП               </t>
  </si>
  <si>
    <t xml:space="preserve">В                          </t>
  </si>
  <si>
    <t xml:space="preserve">ГС                </t>
  </si>
  <si>
    <t>2023 - 2023</t>
  </si>
  <si>
    <t xml:space="preserve"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2024 год
</t>
  </si>
  <si>
    <t>Общая площадь МКД, всего:                                                                                                       (кв.м)</t>
  </si>
  <si>
    <t>К                                     (руб.)</t>
  </si>
  <si>
    <t>СК                                (руб.)</t>
  </si>
  <si>
    <t>2024 - 2024</t>
  </si>
  <si>
    <t xml:space="preserve"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2025 год
</t>
  </si>
  <si>
    <t>Общая площадь МКД, всего:                                                                                                     (кв.м)</t>
  </si>
  <si>
    <t>К                                    (руб.)</t>
  </si>
  <si>
    <t>П                                   (руб.)</t>
  </si>
  <si>
    <t>2025 - 2025</t>
  </si>
  <si>
    <t xml:space="preserve">ТС – ремонт внутридомовых инженерных систем теплоснабжения;
</t>
  </si>
  <si>
    <t>ИТП –  ремонт или замена оборудования индивидуальных тепловых пунктов;</t>
  </si>
  <si>
    <t xml:space="preserve">Установка ВДП, включая регулятор температуры – установка водоподогревателя системы горячего водоснабжения, включая регулятор температуры и другое необходимое оборудование, согласно техническим условиям теплоснабжающей организации;
</t>
  </si>
  <si>
    <t xml:space="preserve">П – ремонт подвальных помещений, относящихся к общему имуществу в многоквартирном доме;  </t>
  </si>
  <si>
    <t xml:space="preserve">ПД – выполнение работ по разработке проектной документации на проведение капитального ремонта общего имущества многоквартирных домов;
</t>
  </si>
  <si>
    <t>СК – строительный контроль.</t>
  </si>
  <si>
    <t>442</t>
  </si>
  <si>
    <t>114</t>
  </si>
  <si>
    <t>162</t>
  </si>
  <si>
    <t>246</t>
  </si>
  <si>
    <t>126</t>
  </si>
  <si>
    <t>2587,6</t>
  </si>
  <si>
    <t>85</t>
  </si>
  <si>
    <t>8282,6</t>
  </si>
  <si>
    <t>254</t>
  </si>
  <si>
    <t>64</t>
  </si>
  <si>
    <t>949,6</t>
  </si>
  <si>
    <t>2530,4</t>
  </si>
  <si>
    <t>3224,4</t>
  </si>
  <si>
    <t>199</t>
  </si>
  <si>
    <t>3150,6</t>
  </si>
  <si>
    <t>294</t>
  </si>
  <si>
    <t>2499,7</t>
  </si>
  <si>
    <t>2992,4</t>
  </si>
  <si>
    <t>893,4</t>
  </si>
  <si>
    <t>ул. Адмирала флота Лобова</t>
  </si>
  <si>
    <t>строительный контроль</t>
  </si>
  <si>
    <t>ул. Капитана Копытова</t>
  </si>
  <si>
    <t>ул. Карла Либкнехта</t>
  </si>
  <si>
    <t>21/22</t>
  </si>
  <si>
    <t>ул. Коммуны</t>
  </si>
  <si>
    <t>3А</t>
  </si>
  <si>
    <t>ул. Ломоносова</t>
  </si>
  <si>
    <t>ул. Морская</t>
  </si>
  <si>
    <t>16 корп. 2</t>
  </si>
  <si>
    <t>ул. Планерная</t>
  </si>
  <si>
    <t>ул. Полярный Круг</t>
  </si>
  <si>
    <t>пер. Русанова</t>
  </si>
  <si>
    <t>ул. Софьи Перовской</t>
  </si>
  <si>
    <t xml:space="preserve"> не приняли решение о проведении капитального ремонта общего имущества</t>
  </si>
  <si>
    <t>ч. 4 ст. 189 Жилищного кодекса Российской Федерации,</t>
  </si>
  <si>
    <t xml:space="preserve">                                    к постановлению администрации</t>
  </si>
  <si>
    <t xml:space="preserve">капитального ремонта общего имущества в многоквартирных домах, расположенных </t>
  </si>
  <si>
    <t>на территории Мурманской области, на 2023 год,</t>
  </si>
  <si>
    <t xml:space="preserve"> собственники помещений в которых в срок, установленный  </t>
  </si>
  <si>
    <t xml:space="preserve">                                    Приложение</t>
  </si>
  <si>
    <t xml:space="preserve">                                      города Мурманска</t>
  </si>
  <si>
    <t xml:space="preserve">                             от 24.10.2022 № 3175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</si>
</sst>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[$-419]General"/>
    <numFmt numFmtId="166" formatCode="_-* #,##0.00_р_._-;\-* #,##0.00_р_._-;_-* &quot;-&quot;??_р_._-;_-@_-"/>
    <numFmt numFmtId="167" formatCode="0.0"/>
    <numFmt numFmtId="168" formatCode="#,##0.00\ _₽"/>
  </numFmts>
  <fonts count="36" x14ac:knownFonts="1">
    <font>
      <sz val="10"/>
      <name val="Times New Roman"/>
      <charset val="204"/>
    </font>
    <font>
      <sz val="50"/>
      <name val="Times New Roman"/>
      <family val="1"/>
      <charset val="204"/>
    </font>
    <font>
      <sz val="16.5"/>
      <name val="Times New Roman"/>
      <family val="1"/>
      <charset val="204"/>
    </font>
    <font>
      <sz val="3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sz val="20"/>
      <name val="Tahoma"/>
      <family val="2"/>
      <charset val="204"/>
    </font>
    <font>
      <b/>
      <sz val="18"/>
      <name val="Tahoma"/>
      <family val="2"/>
      <charset val="204"/>
    </font>
    <font>
      <b/>
      <sz val="16"/>
      <name val="Tahoma"/>
      <family val="2"/>
      <charset val="204"/>
    </font>
    <font>
      <sz val="16"/>
      <name val="Tahoma"/>
      <family val="2"/>
      <charset val="204"/>
    </font>
    <font>
      <sz val="18"/>
      <name val="Tahoma"/>
      <family val="2"/>
      <charset val="204"/>
    </font>
    <font>
      <sz val="9"/>
      <name val="Tahoma"/>
      <family val="2"/>
      <charset val="204"/>
    </font>
    <font>
      <b/>
      <sz val="20"/>
      <name val="Tahoma"/>
      <family val="2"/>
      <charset val="204"/>
    </font>
    <font>
      <b/>
      <sz val="9"/>
      <name val="Tahoma"/>
      <family val="2"/>
      <charset val="204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64"/>
      <name val="Times New Roman"/>
      <family val="1"/>
      <charset val="204"/>
    </font>
    <font>
      <sz val="55"/>
      <name val="Times New Roman"/>
      <family val="1"/>
      <charset val="204"/>
    </font>
    <font>
      <sz val="17"/>
      <name val="Times New Roman"/>
      <family val="1"/>
      <charset val="204"/>
    </font>
    <font>
      <sz val="50"/>
      <color rgb="FFFF0000"/>
      <name val="Times New Roman"/>
      <family val="1"/>
      <charset val="204"/>
    </font>
    <font>
      <sz val="50"/>
      <name val="Calibri"/>
      <family val="2"/>
      <charset val="204"/>
      <scheme val="minor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b/>
      <sz val="24"/>
      <name val="Tahoma"/>
      <family val="2"/>
      <charset val="204"/>
    </font>
    <font>
      <sz val="24"/>
      <name val="Tahoma"/>
      <family val="2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</font>
    <font>
      <sz val="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0" fontId="4" fillId="0" borderId="0" applyNumberFormat="0" applyBorder="0" applyProtection="0">
      <alignment horizontal="left" vertical="center"/>
    </xf>
    <xf numFmtId="0" fontId="6" fillId="0" borderId="0"/>
    <xf numFmtId="0" fontId="6" fillId="0" borderId="0"/>
    <xf numFmtId="0" fontId="6" fillId="4" borderId="11" applyNumberFormat="0" applyFont="0" applyAlignment="0" applyProtection="0"/>
    <xf numFmtId="0" fontId="4" fillId="0" borderId="0" applyNumberFormat="0" applyBorder="0" applyProtection="0">
      <alignment horizontal="left" vertical="center" wrapText="1"/>
    </xf>
    <xf numFmtId="0" fontId="7" fillId="0" borderId="0"/>
    <xf numFmtId="0" fontId="6" fillId="0" borderId="0"/>
    <xf numFmtId="0" fontId="6" fillId="0" borderId="0"/>
    <xf numFmtId="0" fontId="4" fillId="0" borderId="0" applyNumberFormat="0" applyBorder="0" applyProtection="0">
      <alignment horizontal="left" vertical="center" wrapText="1"/>
    </xf>
    <xf numFmtId="0" fontId="6" fillId="0" borderId="0"/>
    <xf numFmtId="0" fontId="6" fillId="4" borderId="11" applyNumberFormat="0" applyFont="0" applyAlignment="0" applyProtection="0"/>
    <xf numFmtId="0" fontId="6" fillId="0" borderId="0"/>
    <xf numFmtId="0" fontId="8" fillId="0" borderId="0"/>
    <xf numFmtId="0" fontId="6" fillId="4" borderId="11" applyNumberFormat="0" applyFont="0" applyAlignment="0" applyProtection="0"/>
    <xf numFmtId="0" fontId="5" fillId="0" borderId="10">
      <alignment horizontal="left" vertical="top" wrapText="1"/>
    </xf>
    <xf numFmtId="165" fontId="9" fillId="0" borderId="0" applyBorder="0" applyProtection="0"/>
    <xf numFmtId="0" fontId="10" fillId="0" borderId="0">
      <alignment horizontal="right" vertical="center"/>
    </xf>
    <xf numFmtId="44" fontId="6" fillId="0" borderId="0" applyFont="0" applyFill="0" applyBorder="0" applyAlignment="0" applyProtection="0"/>
    <xf numFmtId="0" fontId="5" fillId="0" borderId="0"/>
    <xf numFmtId="0" fontId="6" fillId="4" borderId="11" applyNumberFormat="0" applyFont="0" applyAlignment="0" applyProtection="0"/>
    <xf numFmtId="0" fontId="6" fillId="4" borderId="11" applyNumberFormat="0" applyFont="0" applyAlignment="0" applyProtection="0"/>
    <xf numFmtId="0" fontId="6" fillId="4" borderId="11" applyNumberFormat="0" applyFont="0" applyAlignment="0" applyProtection="0"/>
    <xf numFmtId="0" fontId="6" fillId="4" borderId="11" applyNumberFormat="0" applyFont="0" applyAlignment="0" applyProtection="0"/>
    <xf numFmtId="166" fontId="4" fillId="0" borderId="0" applyFont="0" applyFill="0" applyBorder="0" applyAlignment="0" applyProtection="0">
      <alignment horizontal="left" vertical="center" wrapText="1"/>
    </xf>
    <xf numFmtId="166" fontId="4" fillId="0" borderId="0" applyFont="0" applyFill="0" applyBorder="0" applyAlignment="0" applyProtection="0">
      <alignment horizontal="left" vertical="center" wrapText="1"/>
    </xf>
    <xf numFmtId="164" fontId="6" fillId="0" borderId="0" applyFont="0" applyFill="0" applyBorder="0" applyAlignment="0" applyProtection="0"/>
  </cellStyleXfs>
  <cellXfs count="188">
    <xf numFmtId="0" fontId="0" fillId="0" borderId="0" xfId="0">
      <alignment horizontal="left" vertical="center" wrapText="1"/>
    </xf>
    <xf numFmtId="0" fontId="19" fillId="0" borderId="0" xfId="0" applyFont="1" applyAlignment="1"/>
    <xf numFmtId="0" fontId="19" fillId="0" borderId="0" xfId="0" applyFont="1" applyAlignment="1">
      <alignment horizontal="left"/>
    </xf>
    <xf numFmtId="16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textRotation="90" wrapText="1"/>
    </xf>
    <xf numFmtId="0" fontId="20" fillId="0" borderId="0" xfId="0" applyFont="1" applyBorder="1" applyAlignment="1">
      <alignment horizontal="left" vertical="center" textRotation="90" wrapText="1"/>
    </xf>
    <xf numFmtId="167" fontId="20" fillId="0" borderId="0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wrapText="1"/>
    </xf>
    <xf numFmtId="168" fontId="20" fillId="0" borderId="0" xfId="0" applyNumberFormat="1" applyFont="1" applyBorder="1" applyAlignment="1">
      <alignment vertical="center" wrapText="1"/>
    </xf>
    <xf numFmtId="0" fontId="19" fillId="2" borderId="0" xfId="0" applyFont="1" applyFill="1" applyAlignment="1"/>
    <xf numFmtId="167" fontId="20" fillId="0" borderId="8" xfId="0" applyNumberFormat="1" applyFont="1" applyBorder="1" applyAlignment="1">
      <alignment horizontal="center" vertical="center" textRotation="90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168" fontId="20" fillId="0" borderId="8" xfId="0" applyNumberFormat="1" applyFont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167" fontId="23" fillId="2" borderId="1" xfId="0" applyNumberFormat="1" applyFont="1" applyFill="1" applyBorder="1" applyAlignment="1">
      <alignment horizontal="center" vertical="center" textRotation="90" wrapText="1"/>
    </xf>
    <xf numFmtId="167" fontId="23" fillId="2" borderId="4" xfId="0" applyNumberFormat="1" applyFont="1" applyFill="1" applyBorder="1" applyAlignment="1">
      <alignment horizontal="center" vertical="center" textRotation="90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168" fontId="23" fillId="2" borderId="4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textRotation="90" wrapText="1"/>
    </xf>
    <xf numFmtId="0" fontId="23" fillId="0" borderId="4" xfId="0" applyFont="1" applyBorder="1" applyAlignment="1">
      <alignment horizontal="center" vertical="center" wrapText="1"/>
    </xf>
    <xf numFmtId="1" fontId="23" fillId="0" borderId="4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textRotation="90" wrapText="1"/>
    </xf>
    <xf numFmtId="167" fontId="23" fillId="0" borderId="4" xfId="0" applyNumberFormat="1" applyFont="1" applyBorder="1" applyAlignment="1">
      <alignment horizontal="center" vertical="center" textRotation="90" wrapText="1"/>
    </xf>
    <xf numFmtId="2" fontId="23" fillId="0" borderId="4" xfId="0" applyNumberFormat="1" applyFont="1" applyBorder="1" applyAlignment="1">
      <alignment horizontal="center" vertical="center" wrapText="1"/>
    </xf>
    <xf numFmtId="168" fontId="23" fillId="0" borderId="4" xfId="0" applyNumberFormat="1" applyFont="1" applyBorder="1" applyAlignment="1">
      <alignment horizontal="center" vertical="center" wrapText="1"/>
    </xf>
    <xf numFmtId="2" fontId="23" fillId="2" borderId="4" xfId="0" applyNumberFormat="1" applyFont="1" applyFill="1" applyBorder="1" applyAlignment="1">
      <alignment horizontal="center" vertical="center" wrapText="1"/>
    </xf>
    <xf numFmtId="0" fontId="20" fillId="0" borderId="0" xfId="0" applyFont="1" applyAlignment="1"/>
    <xf numFmtId="0" fontId="19" fillId="2" borderId="0" xfId="0" applyFont="1" applyFill="1" applyAlignment="1">
      <alignment vertical="center"/>
    </xf>
    <xf numFmtId="0" fontId="20" fillId="0" borderId="0" xfId="0" applyFont="1" applyAlignment="1">
      <alignment wrapText="1"/>
    </xf>
    <xf numFmtId="168" fontId="20" fillId="0" borderId="0" xfId="0" applyNumberFormat="1" applyFont="1" applyAlignment="1">
      <alignment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68" fontId="20" fillId="0" borderId="0" xfId="0" applyNumberFormat="1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168" fontId="19" fillId="0" borderId="0" xfId="0" applyNumberFormat="1" applyFont="1" applyAlignment="1"/>
    <xf numFmtId="168" fontId="20" fillId="0" borderId="0" xfId="0" applyNumberFormat="1" applyFont="1" applyAlignment="1"/>
    <xf numFmtId="0" fontId="19" fillId="0" borderId="0" xfId="0" applyFont="1" applyAlignment="1">
      <alignment horizontal="center" vertical="center"/>
    </xf>
    <xf numFmtId="168" fontId="23" fillId="2" borderId="1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167" fontId="23" fillId="2" borderId="4" xfId="0" applyNumberFormat="1" applyFont="1" applyFill="1" applyBorder="1" applyAlignment="1">
      <alignment horizontal="center" vertical="center" textRotation="90"/>
    </xf>
    <xf numFmtId="168" fontId="23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0" fontId="23" fillId="2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167" fontId="23" fillId="2" borderId="8" xfId="0" applyNumberFormat="1" applyFont="1" applyFill="1" applyBorder="1" applyAlignment="1">
      <alignment horizontal="center" vertical="center"/>
    </xf>
    <xf numFmtId="168" fontId="23" fillId="2" borderId="8" xfId="0" applyNumberFormat="1" applyFont="1" applyFill="1" applyBorder="1" applyAlignment="1">
      <alignment horizontal="center" vertical="center"/>
    </xf>
    <xf numFmtId="164" fontId="23" fillId="2" borderId="8" xfId="0" applyNumberFormat="1" applyFont="1" applyFill="1" applyBorder="1" applyAlignment="1">
      <alignment horizontal="center" vertical="center"/>
    </xf>
    <xf numFmtId="168" fontId="23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168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2" fontId="20" fillId="2" borderId="4" xfId="0" applyNumberFormat="1" applyFont="1" applyFill="1" applyBorder="1" applyAlignment="1">
      <alignment horizontal="center" vertical="center" wrapText="1"/>
    </xf>
    <xf numFmtId="2" fontId="20" fillId="2" borderId="16" xfId="0" applyNumberFormat="1" applyFont="1" applyFill="1" applyBorder="1" applyAlignment="1">
      <alignment horizontal="center" vertical="center" wrapText="1"/>
    </xf>
    <xf numFmtId="2" fontId="20" fillId="2" borderId="0" xfId="0" applyNumberFormat="1" applyFont="1" applyFill="1" applyBorder="1" applyAlignment="1">
      <alignment horizontal="center" vertical="center" wrapText="1"/>
    </xf>
    <xf numFmtId="2" fontId="20" fillId="2" borderId="4" xfId="0" applyNumberFormat="1" applyFont="1" applyFill="1" applyBorder="1" applyAlignment="1">
      <alignment horizontal="center" vertical="center"/>
    </xf>
    <xf numFmtId="1" fontId="20" fillId="2" borderId="4" xfId="0" applyNumberFormat="1" applyFont="1" applyFill="1" applyBorder="1" applyAlignment="1">
      <alignment horizontal="center" vertical="center" textRotation="90" wrapText="1"/>
    </xf>
    <xf numFmtId="2" fontId="20" fillId="2" borderId="16" xfId="0" applyNumberFormat="1" applyFont="1" applyFill="1" applyBorder="1" applyAlignment="1">
      <alignment horizontal="center"/>
    </xf>
    <xf numFmtId="2" fontId="20" fillId="2" borderId="0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2" fontId="20" fillId="2" borderId="2" xfId="0" applyNumberFormat="1" applyFont="1" applyFill="1" applyBorder="1" applyAlignment="1">
      <alignment horizontal="center" vertical="center" wrapText="1"/>
    </xf>
    <xf numFmtId="168" fontId="20" fillId="2" borderId="4" xfId="0" applyNumberFormat="1" applyFont="1" applyFill="1" applyBorder="1" applyAlignment="1">
      <alignment horizontal="center" vertical="center"/>
    </xf>
    <xf numFmtId="168" fontId="20" fillId="2" borderId="16" xfId="0" applyNumberFormat="1" applyFont="1" applyFill="1" applyBorder="1" applyAlignment="1">
      <alignment horizontal="center"/>
    </xf>
    <xf numFmtId="168" fontId="20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7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4" fontId="24" fillId="2" borderId="0" xfId="0" applyNumberFormat="1" applyFont="1" applyFill="1" applyAlignment="1">
      <alignment horizontal="left"/>
    </xf>
    <xf numFmtId="168" fontId="1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25" fillId="2" borderId="0" xfId="0" applyFont="1" applyFill="1" applyAlignment="1"/>
    <xf numFmtId="168" fontId="25" fillId="2" borderId="0" xfId="0" applyNumberFormat="1" applyFont="1" applyFill="1" applyAlignment="1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/>
    <xf numFmtId="0" fontId="20" fillId="2" borderId="0" xfId="0" applyFont="1" applyFill="1" applyAlignment="1"/>
    <xf numFmtId="168" fontId="1" fillId="2" borderId="0" xfId="0" applyNumberFormat="1" applyFont="1" applyFill="1" applyAlignment="1"/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168" fontId="1" fillId="2" borderId="0" xfId="0" applyNumberFormat="1" applyFont="1" applyFill="1" applyAlignment="1">
      <alignment wrapText="1"/>
    </xf>
    <xf numFmtId="0" fontId="20" fillId="2" borderId="0" xfId="0" applyFont="1" applyFill="1" applyAlignment="1">
      <alignment wrapText="1"/>
    </xf>
    <xf numFmtId="167" fontId="25" fillId="2" borderId="0" xfId="0" applyNumberFormat="1" applyFont="1" applyFill="1" applyAlignment="1">
      <alignment horizontal="center" vertical="center"/>
    </xf>
    <xf numFmtId="167" fontId="25" fillId="2" borderId="0" xfId="0" applyNumberFormat="1" applyFont="1" applyFill="1" applyAlignment="1">
      <alignment horizontal="center"/>
    </xf>
    <xf numFmtId="0" fontId="1" fillId="2" borderId="0" xfId="0" applyFont="1" applyFill="1">
      <alignment horizontal="left" vertical="center" wrapText="1"/>
    </xf>
    <xf numFmtId="0" fontId="25" fillId="2" borderId="0" xfId="0" applyFont="1" applyFill="1" applyAlignment="1">
      <alignment horizontal="left"/>
    </xf>
    <xf numFmtId="0" fontId="19" fillId="0" borderId="8" xfId="0" applyFont="1" applyBorder="1" applyAlignment="1"/>
    <xf numFmtId="0" fontId="33" fillId="2" borderId="0" xfId="0" applyFont="1" applyFill="1">
      <alignment horizontal="left" vertical="center" wrapText="1"/>
    </xf>
    <xf numFmtId="0" fontId="33" fillId="0" borderId="0" xfId="0" applyFo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2" fontId="33" fillId="0" borderId="0" xfId="0" applyNumberFormat="1" applyFo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4" fillId="0" borderId="0" xfId="0" applyFont="1">
      <alignment horizontal="left" vertical="center" wrapText="1"/>
    </xf>
    <xf numFmtId="0" fontId="33" fillId="0" borderId="4" xfId="0" applyFont="1" applyBorder="1" applyAlignment="1">
      <alignment horizontal="center" vertical="center" wrapText="1"/>
    </xf>
    <xf numFmtId="1" fontId="33" fillId="0" borderId="4" xfId="0" applyNumberFormat="1" applyFont="1" applyBorder="1" applyAlignment="1">
      <alignment horizontal="center" vertical="center" wrapText="1"/>
    </xf>
    <xf numFmtId="0" fontId="33" fillId="2" borderId="4" xfId="0" applyFont="1" applyFill="1" applyBorder="1">
      <alignment horizontal="left" vertical="center" wrapText="1"/>
    </xf>
    <xf numFmtId="2" fontId="33" fillId="0" borderId="4" xfId="0" applyNumberFormat="1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2" borderId="8" xfId="0" applyFont="1" applyFill="1" applyBorder="1">
      <alignment horizontal="left" vertical="center" wrapText="1"/>
    </xf>
    <xf numFmtId="0" fontId="35" fillId="2" borderId="0" xfId="0" applyFont="1" applyFill="1">
      <alignment horizontal="left" vertical="center" wrapText="1"/>
    </xf>
    <xf numFmtId="0" fontId="35" fillId="0" borderId="0" xfId="0" applyFo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2" fontId="35" fillId="0" borderId="0" xfId="0" applyNumberFormat="1" applyFo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0" borderId="0" xfId="0" applyFont="1">
      <alignment horizontal="left" vertical="center" wrapText="1"/>
    </xf>
    <xf numFmtId="0" fontId="35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2" fontId="33" fillId="3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2" fontId="20" fillId="2" borderId="0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/>
    </xf>
    <xf numFmtId="2" fontId="20" fillId="2" borderId="4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textRotation="90" wrapText="1"/>
    </xf>
    <xf numFmtId="2" fontId="20" fillId="2" borderId="3" xfId="0" applyNumberFormat="1" applyFont="1" applyFill="1" applyBorder="1" applyAlignment="1">
      <alignment horizontal="center" vertical="center" textRotation="90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7" fontId="20" fillId="2" borderId="2" xfId="0" applyNumberFormat="1" applyFont="1" applyFill="1" applyBorder="1" applyAlignment="1">
      <alignment horizontal="center" vertical="center"/>
    </xf>
    <xf numFmtId="2" fontId="20" fillId="2" borderId="13" xfId="0" applyNumberFormat="1" applyFont="1" applyFill="1" applyBorder="1" applyAlignment="1">
      <alignment horizontal="center" vertical="center" wrapText="1"/>
    </xf>
    <xf numFmtId="2" fontId="20" fillId="2" borderId="1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23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168" fontId="23" fillId="2" borderId="4" xfId="0" applyNumberFormat="1" applyFont="1" applyFill="1" applyBorder="1" applyAlignment="1">
      <alignment horizontal="center" vertical="center" wrapText="1"/>
    </xf>
    <xf numFmtId="167" fontId="23" fillId="2" borderId="1" xfId="0" applyNumberFormat="1" applyFont="1" applyFill="1" applyBorder="1" applyAlignment="1">
      <alignment horizontal="center" vertical="center" textRotation="90" wrapText="1"/>
    </xf>
    <xf numFmtId="167" fontId="23" fillId="2" borderId="9" xfId="0" applyNumberFormat="1" applyFont="1" applyFill="1" applyBorder="1" applyAlignment="1">
      <alignment horizontal="center" vertical="center" textRotation="90" wrapText="1"/>
    </xf>
    <xf numFmtId="167" fontId="23" fillId="2" borderId="3" xfId="0" applyNumberFormat="1" applyFont="1" applyFill="1" applyBorder="1" applyAlignment="1">
      <alignment horizontal="center" vertical="center" textRotation="90" wrapText="1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textRotation="90" wrapText="1"/>
    </xf>
    <xf numFmtId="0" fontId="23" fillId="2" borderId="9" xfId="0" applyFont="1" applyFill="1" applyBorder="1" applyAlignment="1">
      <alignment horizontal="center" vertical="center" textRotation="90" wrapText="1"/>
    </xf>
    <xf numFmtId="0" fontId="23" fillId="2" borderId="3" xfId="0" applyFont="1" applyFill="1" applyBorder="1" applyAlignment="1">
      <alignment horizontal="center" vertical="center" textRotation="90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textRotation="90" wrapText="1"/>
    </xf>
    <xf numFmtId="0" fontId="23" fillId="2" borderId="15" xfId="0" applyFont="1" applyFill="1" applyBorder="1" applyAlignment="1">
      <alignment horizontal="center" vertical="center" textRotation="90" wrapText="1"/>
    </xf>
    <xf numFmtId="167" fontId="23" fillId="2" borderId="4" xfId="0" applyNumberFormat="1" applyFont="1" applyFill="1" applyBorder="1" applyAlignment="1">
      <alignment horizontal="center" vertical="center" textRotation="90" wrapText="1"/>
    </xf>
  </cellXfs>
  <cellStyles count="27">
    <cellStyle name="ex66" xfId="15" xr:uid="{00000000-0005-0000-0000-000000000000}"/>
    <cellStyle name="Excel Built-in Normal" xfId="16" xr:uid="{00000000-0005-0000-0000-000001000000}"/>
    <cellStyle name="S6" xfId="17" xr:uid="{00000000-0005-0000-0000-000002000000}"/>
    <cellStyle name="Денежный 2" xfId="18" xr:uid="{00000000-0005-0000-0000-000003000000}"/>
    <cellStyle name="Обычный" xfId="0" builtinId="0"/>
    <cellStyle name="Обычный 10 10" xfId="8" xr:uid="{00000000-0005-0000-0000-000005000000}"/>
    <cellStyle name="Обычный 11 4" xfId="12" xr:uid="{00000000-0005-0000-0000-000006000000}"/>
    <cellStyle name="Обычный 2" xfId="13" xr:uid="{00000000-0005-0000-0000-000007000000}"/>
    <cellStyle name="Обычный 2 2" xfId="2" xr:uid="{00000000-0005-0000-0000-000008000000}"/>
    <cellStyle name="Обычный 3" xfId="5" xr:uid="{00000000-0005-0000-0000-000009000000}"/>
    <cellStyle name="Обычный 3 2" xfId="6" xr:uid="{00000000-0005-0000-0000-00000A000000}"/>
    <cellStyle name="Обычный 4" xfId="1" xr:uid="{00000000-0005-0000-0000-00000B000000}"/>
    <cellStyle name="Обычный 5" xfId="3" xr:uid="{00000000-0005-0000-0000-00000C000000}"/>
    <cellStyle name="Обычный 6" xfId="7" xr:uid="{00000000-0005-0000-0000-00000D000000}"/>
    <cellStyle name="Обычный 7" xfId="9" xr:uid="{00000000-0005-0000-0000-00000E000000}"/>
    <cellStyle name="Обычный 8" xfId="10" xr:uid="{00000000-0005-0000-0000-00000F000000}"/>
    <cellStyle name="Обычный 9" xfId="19" xr:uid="{00000000-0005-0000-0000-000010000000}"/>
    <cellStyle name="Примечание 2" xfId="20" xr:uid="{00000000-0005-0000-0000-000011000000}"/>
    <cellStyle name="Примечание 2 2" xfId="21" xr:uid="{00000000-0005-0000-0000-000012000000}"/>
    <cellStyle name="Примечание 2 2 2" xfId="22" xr:uid="{00000000-0005-0000-0000-000013000000}"/>
    <cellStyle name="Примечание 2 3" xfId="23" xr:uid="{00000000-0005-0000-0000-000014000000}"/>
    <cellStyle name="Примечание 3" xfId="11" xr:uid="{00000000-0005-0000-0000-000015000000}"/>
    <cellStyle name="Примечание 3 2" xfId="14" xr:uid="{00000000-0005-0000-0000-000016000000}"/>
    <cellStyle name="Примечание 4" xfId="4" xr:uid="{00000000-0005-0000-0000-000017000000}"/>
    <cellStyle name="Финансовый 2" xfId="24" xr:uid="{00000000-0005-0000-0000-000018000000}"/>
    <cellStyle name="Финансовый 3" xfId="25" xr:uid="{00000000-0005-0000-0000-000019000000}"/>
    <cellStyle name="Финансовый 4" xfId="26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1"/>
  <sheetViews>
    <sheetView tabSelected="1" view="pageBreakPreview" topLeftCell="A137" zoomScale="90" zoomScaleNormal="100" zoomScaleSheetLayoutView="90" zoomScalePageLayoutView="80" workbookViewId="0">
      <selection activeCell="A10" sqref="A10:E10"/>
    </sheetView>
  </sheetViews>
  <sheetFormatPr defaultColWidth="9" defaultRowHeight="16.5" x14ac:dyDescent="0.2"/>
  <cols>
    <col min="1" max="1" width="8.5" style="96" customWidth="1"/>
    <col min="2" max="2" width="35.5" style="97" customWidth="1"/>
    <col min="3" max="3" width="15.6640625" style="98" customWidth="1"/>
    <col min="4" max="4" width="69.33203125" style="96" customWidth="1"/>
    <col min="5" max="5" width="47.5" style="99" customWidth="1"/>
    <col min="6" max="6" width="10.5" style="97" bestFit="1" customWidth="1"/>
    <col min="7" max="16384" width="9" style="97"/>
  </cols>
  <sheetData>
    <row r="1" spans="1:15" ht="24.75" customHeight="1" x14ac:dyDescent="0.4">
      <c r="A1" s="109"/>
      <c r="B1" s="110"/>
      <c r="C1" s="111"/>
      <c r="D1" s="120" t="s">
        <v>269</v>
      </c>
      <c r="E1" s="120"/>
      <c r="K1" s="121"/>
      <c r="L1" s="121"/>
      <c r="M1" s="121"/>
      <c r="N1" s="121"/>
      <c r="O1" s="121"/>
    </row>
    <row r="2" spans="1:15" ht="24.75" customHeight="1" x14ac:dyDescent="0.4">
      <c r="A2" s="109"/>
      <c r="B2" s="110"/>
      <c r="C2" s="111"/>
      <c r="D2" s="120" t="s">
        <v>265</v>
      </c>
      <c r="E2" s="120"/>
      <c r="K2" s="121"/>
      <c r="L2" s="121"/>
      <c r="M2" s="121"/>
      <c r="N2" s="121"/>
      <c r="O2" s="121"/>
    </row>
    <row r="3" spans="1:15" ht="24.75" customHeight="1" x14ac:dyDescent="0.4">
      <c r="A3" s="109"/>
      <c r="B3" s="110"/>
      <c r="C3" s="111"/>
      <c r="D3" s="120" t="s">
        <v>270</v>
      </c>
      <c r="E3" s="120"/>
      <c r="K3" s="121"/>
      <c r="L3" s="121"/>
      <c r="M3" s="121"/>
      <c r="N3" s="121"/>
      <c r="O3" s="121"/>
    </row>
    <row r="4" spans="1:15" ht="24.75" customHeight="1" x14ac:dyDescent="0.4">
      <c r="A4" s="109"/>
      <c r="B4" s="110"/>
      <c r="C4" s="111"/>
      <c r="D4" s="120" t="s">
        <v>271</v>
      </c>
      <c r="E4" s="120"/>
      <c r="K4" s="121"/>
      <c r="L4" s="121"/>
      <c r="M4" s="121"/>
      <c r="N4" s="121"/>
      <c r="O4" s="121"/>
    </row>
    <row r="5" spans="1:15" ht="24.75" customHeight="1" x14ac:dyDescent="0.2">
      <c r="A5" s="109"/>
      <c r="B5" s="110"/>
      <c r="C5" s="111"/>
      <c r="D5" s="109"/>
      <c r="E5" s="112"/>
    </row>
    <row r="6" spans="1:15" ht="24.75" customHeight="1" x14ac:dyDescent="0.2">
      <c r="A6" s="109"/>
      <c r="B6" s="110"/>
      <c r="C6" s="111"/>
      <c r="D6" s="109"/>
      <c r="E6" s="112"/>
    </row>
    <row r="7" spans="1:15" ht="24.75" customHeight="1" x14ac:dyDescent="0.2">
      <c r="A7" s="122" t="s">
        <v>0</v>
      </c>
      <c r="B7" s="122"/>
      <c r="C7" s="122"/>
      <c r="D7" s="122"/>
      <c r="E7" s="122"/>
      <c r="F7" s="100"/>
      <c r="G7" s="100"/>
      <c r="H7" s="100"/>
      <c r="I7" s="100"/>
      <c r="J7" s="100"/>
    </row>
    <row r="8" spans="1:15" ht="24.75" customHeight="1" x14ac:dyDescent="0.2">
      <c r="A8" s="122" t="s">
        <v>266</v>
      </c>
      <c r="B8" s="122"/>
      <c r="C8" s="122"/>
      <c r="D8" s="122"/>
      <c r="E8" s="122"/>
      <c r="F8" s="100"/>
      <c r="G8" s="100"/>
      <c r="H8" s="100"/>
      <c r="I8" s="100"/>
      <c r="J8" s="100"/>
    </row>
    <row r="9" spans="1:15" ht="24.75" customHeight="1" x14ac:dyDescent="0.2">
      <c r="A9" s="122" t="s">
        <v>267</v>
      </c>
      <c r="B9" s="122"/>
      <c r="C9" s="122"/>
      <c r="D9" s="122"/>
      <c r="E9" s="122"/>
      <c r="F9" s="100"/>
      <c r="G9" s="100"/>
      <c r="H9" s="100"/>
      <c r="I9" s="100"/>
      <c r="J9" s="100"/>
    </row>
    <row r="10" spans="1:15" ht="24.75" customHeight="1" x14ac:dyDescent="0.2">
      <c r="A10" s="122" t="s">
        <v>268</v>
      </c>
      <c r="B10" s="122"/>
      <c r="C10" s="122"/>
      <c r="D10" s="122"/>
      <c r="E10" s="122"/>
      <c r="F10" s="100"/>
      <c r="G10" s="100"/>
      <c r="H10" s="100"/>
      <c r="I10" s="100"/>
      <c r="J10" s="100"/>
    </row>
    <row r="11" spans="1:15" ht="24.75" customHeight="1" x14ac:dyDescent="0.2">
      <c r="A11" s="122" t="s">
        <v>264</v>
      </c>
      <c r="B11" s="122"/>
      <c r="C11" s="122"/>
      <c r="D11" s="122"/>
      <c r="E11" s="122"/>
      <c r="F11" s="100"/>
      <c r="G11" s="100"/>
      <c r="H11" s="100"/>
      <c r="I11" s="100"/>
      <c r="J11" s="100"/>
    </row>
    <row r="12" spans="1:15" ht="24.75" customHeight="1" x14ac:dyDescent="0.2">
      <c r="A12" s="122" t="s">
        <v>263</v>
      </c>
      <c r="B12" s="122"/>
      <c r="C12" s="122"/>
      <c r="D12" s="122"/>
      <c r="E12" s="122"/>
      <c r="F12" s="100"/>
      <c r="G12" s="100"/>
      <c r="H12" s="100"/>
      <c r="I12" s="100"/>
      <c r="J12" s="100"/>
    </row>
    <row r="13" spans="1:15" ht="24.75" customHeight="1" x14ac:dyDescent="0.2">
      <c r="A13" s="122" t="s">
        <v>1</v>
      </c>
      <c r="B13" s="122"/>
      <c r="C13" s="122"/>
      <c r="D13" s="122"/>
      <c r="E13" s="122"/>
      <c r="F13" s="100"/>
      <c r="G13" s="100"/>
      <c r="H13" s="100"/>
      <c r="I13" s="100"/>
      <c r="J13" s="100"/>
    </row>
    <row r="14" spans="1:15" ht="13.15" customHeight="1" x14ac:dyDescent="0.2"/>
    <row r="15" spans="1:15" ht="146.25" customHeight="1" x14ac:dyDescent="0.2">
      <c r="A15" s="123" t="s">
        <v>2</v>
      </c>
      <c r="B15" s="124" t="s">
        <v>3</v>
      </c>
      <c r="C15" s="126" t="s">
        <v>4</v>
      </c>
      <c r="D15" s="123" t="s">
        <v>5</v>
      </c>
      <c r="E15" s="127" t="s">
        <v>6</v>
      </c>
      <c r="F15" s="102"/>
    </row>
    <row r="16" spans="1:15" ht="13.9" hidden="1" customHeight="1" x14ac:dyDescent="0.2">
      <c r="A16" s="123"/>
      <c r="B16" s="125"/>
      <c r="C16" s="126"/>
      <c r="D16" s="123"/>
      <c r="E16" s="127"/>
      <c r="F16" s="102"/>
    </row>
    <row r="17" spans="1:6" ht="17.25" customHeight="1" x14ac:dyDescent="0.2">
      <c r="A17" s="101">
        <v>1</v>
      </c>
      <c r="B17" s="103">
        <v>2</v>
      </c>
      <c r="C17" s="103">
        <v>3</v>
      </c>
      <c r="D17" s="101">
        <v>4</v>
      </c>
      <c r="E17" s="104">
        <v>5</v>
      </c>
      <c r="F17" s="102"/>
    </row>
    <row r="18" spans="1:6" ht="17.25" customHeight="1" x14ac:dyDescent="0.2">
      <c r="A18" s="116">
        <v>1</v>
      </c>
      <c r="B18" s="113" t="s">
        <v>249</v>
      </c>
      <c r="C18" s="113">
        <v>44</v>
      </c>
      <c r="D18" s="105" t="s">
        <v>11</v>
      </c>
      <c r="E18" s="106">
        <v>1331716.25</v>
      </c>
      <c r="F18" s="102"/>
    </row>
    <row r="19" spans="1:6" ht="17.25" customHeight="1" x14ac:dyDescent="0.2">
      <c r="A19" s="117"/>
      <c r="B19" s="114"/>
      <c r="C19" s="114"/>
      <c r="D19" s="105" t="s">
        <v>12</v>
      </c>
      <c r="E19" s="106">
        <v>1883311.5</v>
      </c>
      <c r="F19" s="102"/>
    </row>
    <row r="20" spans="1:6" ht="17.25" customHeight="1" x14ac:dyDescent="0.2">
      <c r="A20" s="117"/>
      <c r="B20" s="114"/>
      <c r="C20" s="114"/>
      <c r="D20" s="105" t="s">
        <v>13</v>
      </c>
      <c r="E20" s="106">
        <v>1288777.18</v>
      </c>
      <c r="F20" s="102"/>
    </row>
    <row r="21" spans="1:6" ht="17.25" customHeight="1" x14ac:dyDescent="0.2">
      <c r="A21" s="117"/>
      <c r="B21" s="114"/>
      <c r="C21" s="114"/>
      <c r="D21" s="105" t="s">
        <v>14</v>
      </c>
      <c r="E21" s="106">
        <v>1274730.68</v>
      </c>
      <c r="F21" s="102"/>
    </row>
    <row r="22" spans="1:6" ht="17.25" customHeight="1" x14ac:dyDescent="0.2">
      <c r="A22" s="117"/>
      <c r="B22" s="114"/>
      <c r="C22" s="114"/>
      <c r="D22" s="105" t="s">
        <v>15</v>
      </c>
      <c r="E22" s="106">
        <v>2322534.75</v>
      </c>
      <c r="F22" s="102"/>
    </row>
    <row r="23" spans="1:6" ht="17.25" customHeight="1" x14ac:dyDescent="0.2">
      <c r="A23" s="117"/>
      <c r="B23" s="114"/>
      <c r="C23" s="114"/>
      <c r="D23" s="105" t="s">
        <v>7</v>
      </c>
      <c r="E23" s="106">
        <v>967328.4</v>
      </c>
      <c r="F23" s="102"/>
    </row>
    <row r="24" spans="1:6" ht="17.25" customHeight="1" x14ac:dyDescent="0.2">
      <c r="A24" s="117"/>
      <c r="B24" s="114"/>
      <c r="C24" s="114"/>
      <c r="D24" s="105" t="s">
        <v>250</v>
      </c>
      <c r="E24" s="106">
        <v>121516.06</v>
      </c>
      <c r="F24" s="102"/>
    </row>
    <row r="25" spans="1:6" ht="17.25" customHeight="1" x14ac:dyDescent="0.2">
      <c r="A25" s="118"/>
      <c r="B25" s="115"/>
      <c r="C25" s="115"/>
      <c r="D25" s="105" t="s">
        <v>8</v>
      </c>
      <c r="E25" s="106">
        <v>9189914.8200000003</v>
      </c>
      <c r="F25" s="102"/>
    </row>
    <row r="26" spans="1:6" ht="17.25" customHeight="1" x14ac:dyDescent="0.2">
      <c r="A26" s="116">
        <v>2</v>
      </c>
      <c r="B26" s="113" t="s">
        <v>249</v>
      </c>
      <c r="C26" s="113">
        <v>47</v>
      </c>
      <c r="D26" s="105" t="s">
        <v>11</v>
      </c>
      <c r="E26" s="106">
        <v>1173648.1299999999</v>
      </c>
      <c r="F26" s="102"/>
    </row>
    <row r="27" spans="1:6" ht="17.25" customHeight="1" x14ac:dyDescent="0.2">
      <c r="A27" s="117"/>
      <c r="B27" s="114"/>
      <c r="C27" s="114"/>
      <c r="D27" s="105" t="s">
        <v>12</v>
      </c>
      <c r="E27" s="106">
        <v>9251870.5500000007</v>
      </c>
      <c r="F27" s="102"/>
    </row>
    <row r="28" spans="1:6" ht="17.25" customHeight="1" x14ac:dyDescent="0.2">
      <c r="A28" s="117"/>
      <c r="B28" s="114"/>
      <c r="C28" s="114"/>
      <c r="D28" s="105" t="s">
        <v>13</v>
      </c>
      <c r="E28" s="106">
        <v>1135805.71</v>
      </c>
      <c r="F28" s="102"/>
    </row>
    <row r="29" spans="1:6" ht="17.25" customHeight="1" x14ac:dyDescent="0.2">
      <c r="A29" s="117"/>
      <c r="B29" s="114"/>
      <c r="C29" s="114"/>
      <c r="D29" s="105" t="s">
        <v>14</v>
      </c>
      <c r="E29" s="106">
        <v>1123426.46</v>
      </c>
      <c r="F29" s="102"/>
    </row>
    <row r="30" spans="1:6" ht="17.25" customHeight="1" x14ac:dyDescent="0.2">
      <c r="A30" s="117"/>
      <c r="B30" s="114"/>
      <c r="C30" s="114"/>
      <c r="D30" s="105" t="s">
        <v>15</v>
      </c>
      <c r="E30" s="106">
        <v>2046861.38</v>
      </c>
      <c r="F30" s="102"/>
    </row>
    <row r="31" spans="1:6" ht="17.25" customHeight="1" x14ac:dyDescent="0.2">
      <c r="A31" s="117"/>
      <c r="B31" s="114"/>
      <c r="C31" s="114"/>
      <c r="D31" s="105" t="s">
        <v>7</v>
      </c>
      <c r="E31" s="106">
        <v>938412</v>
      </c>
      <c r="F31" s="102"/>
    </row>
    <row r="32" spans="1:6" ht="17.25" customHeight="1" x14ac:dyDescent="0.2">
      <c r="A32" s="117"/>
      <c r="B32" s="114"/>
      <c r="C32" s="114"/>
      <c r="D32" s="105" t="s">
        <v>250</v>
      </c>
      <c r="E32" s="106">
        <v>220974.18</v>
      </c>
      <c r="F32" s="102"/>
    </row>
    <row r="33" spans="1:6" ht="17.25" customHeight="1" x14ac:dyDescent="0.2">
      <c r="A33" s="118"/>
      <c r="B33" s="115"/>
      <c r="C33" s="115"/>
      <c r="D33" s="105" t="s">
        <v>8</v>
      </c>
      <c r="E33" s="106">
        <v>15890998.41</v>
      </c>
      <c r="F33" s="102"/>
    </row>
    <row r="34" spans="1:6" ht="17.25" customHeight="1" x14ac:dyDescent="0.2">
      <c r="A34" s="116">
        <v>3</v>
      </c>
      <c r="B34" s="113" t="s">
        <v>9</v>
      </c>
      <c r="C34" s="113">
        <v>2</v>
      </c>
      <c r="D34" s="105" t="s">
        <v>29</v>
      </c>
      <c r="E34" s="106">
        <v>2666183.2799999998</v>
      </c>
      <c r="F34" s="102"/>
    </row>
    <row r="35" spans="1:6" ht="17.25" customHeight="1" x14ac:dyDescent="0.2">
      <c r="A35" s="117"/>
      <c r="B35" s="114"/>
      <c r="C35" s="114"/>
      <c r="D35" s="105" t="s">
        <v>16</v>
      </c>
      <c r="E35" s="106">
        <v>5242008.96</v>
      </c>
      <c r="F35" s="102"/>
    </row>
    <row r="36" spans="1:6" ht="17.25" customHeight="1" x14ac:dyDescent="0.2">
      <c r="A36" s="117"/>
      <c r="B36" s="114"/>
      <c r="C36" s="114"/>
      <c r="D36" s="105" t="s">
        <v>17</v>
      </c>
      <c r="E36" s="106">
        <v>1549039.86</v>
      </c>
      <c r="F36" s="102"/>
    </row>
    <row r="37" spans="1:6" ht="17.25" customHeight="1" x14ac:dyDescent="0.2">
      <c r="A37" s="117"/>
      <c r="B37" s="114"/>
      <c r="C37" s="114"/>
      <c r="D37" s="105" t="s">
        <v>7</v>
      </c>
      <c r="E37" s="106">
        <v>926400</v>
      </c>
      <c r="F37" s="102"/>
    </row>
    <row r="38" spans="1:6" ht="17.25" customHeight="1" x14ac:dyDescent="0.2">
      <c r="A38" s="117"/>
      <c r="B38" s="114"/>
      <c r="C38" s="114"/>
      <c r="D38" s="105" t="s">
        <v>250</v>
      </c>
      <c r="E38" s="106">
        <v>141858.48000000001</v>
      </c>
      <c r="F38" s="102"/>
    </row>
    <row r="39" spans="1:6" ht="17.25" customHeight="1" x14ac:dyDescent="0.2">
      <c r="A39" s="118"/>
      <c r="B39" s="115"/>
      <c r="C39" s="115"/>
      <c r="D39" s="105" t="s">
        <v>8</v>
      </c>
      <c r="E39" s="106">
        <v>10525490.58</v>
      </c>
      <c r="F39" s="102"/>
    </row>
    <row r="40" spans="1:6" ht="17.25" customHeight="1" x14ac:dyDescent="0.2">
      <c r="A40" s="116">
        <v>4</v>
      </c>
      <c r="B40" s="113" t="s">
        <v>9</v>
      </c>
      <c r="C40" s="113">
        <v>59</v>
      </c>
      <c r="D40" s="105" t="s">
        <v>11</v>
      </c>
      <c r="E40" s="106">
        <v>988958</v>
      </c>
      <c r="F40" s="102"/>
    </row>
    <row r="41" spans="1:6" ht="17.25" customHeight="1" x14ac:dyDescent="0.2">
      <c r="A41" s="117"/>
      <c r="B41" s="114"/>
      <c r="C41" s="114"/>
      <c r="D41" s="105" t="s">
        <v>12</v>
      </c>
      <c r="E41" s="106">
        <v>6404451.8899999997</v>
      </c>
      <c r="F41" s="102"/>
    </row>
    <row r="42" spans="1:6" ht="17.25" customHeight="1" x14ac:dyDescent="0.2">
      <c r="A42" s="117"/>
      <c r="B42" s="114"/>
      <c r="C42" s="114"/>
      <c r="D42" s="105" t="s">
        <v>13</v>
      </c>
      <c r="E42" s="106">
        <v>996307.98</v>
      </c>
      <c r="F42" s="102"/>
    </row>
    <row r="43" spans="1:6" ht="17.25" customHeight="1" x14ac:dyDescent="0.2">
      <c r="A43" s="117"/>
      <c r="B43" s="114"/>
      <c r="C43" s="114"/>
      <c r="D43" s="105" t="s">
        <v>14</v>
      </c>
      <c r="E43" s="106">
        <v>1059505.01</v>
      </c>
      <c r="F43" s="102"/>
    </row>
    <row r="44" spans="1:6" ht="17.25" customHeight="1" x14ac:dyDescent="0.2">
      <c r="A44" s="117"/>
      <c r="B44" s="114"/>
      <c r="C44" s="114"/>
      <c r="D44" s="105" t="s">
        <v>15</v>
      </c>
      <c r="E44" s="106">
        <v>1068186.98</v>
      </c>
      <c r="F44" s="102"/>
    </row>
    <row r="45" spans="1:6" ht="17.25" customHeight="1" x14ac:dyDescent="0.2">
      <c r="A45" s="117"/>
      <c r="B45" s="114"/>
      <c r="C45" s="114"/>
      <c r="D45" s="105" t="s">
        <v>10</v>
      </c>
      <c r="E45" s="106">
        <v>5804754.1799999997</v>
      </c>
      <c r="F45" s="102"/>
    </row>
    <row r="46" spans="1:6" ht="17.25" customHeight="1" x14ac:dyDescent="0.2">
      <c r="A46" s="117"/>
      <c r="B46" s="114"/>
      <c r="C46" s="114"/>
      <c r="D46" s="105" t="s">
        <v>7</v>
      </c>
      <c r="E46" s="106">
        <v>1910719.2</v>
      </c>
      <c r="F46" s="102"/>
    </row>
    <row r="47" spans="1:6" ht="17.25" customHeight="1" x14ac:dyDescent="0.2">
      <c r="A47" s="117"/>
      <c r="B47" s="114"/>
      <c r="C47" s="114"/>
      <c r="D47" s="105" t="s">
        <v>250</v>
      </c>
      <c r="E47" s="106">
        <v>244832.46</v>
      </c>
      <c r="F47" s="102"/>
    </row>
    <row r="48" spans="1:6" ht="17.25" customHeight="1" x14ac:dyDescent="0.2">
      <c r="A48" s="118"/>
      <c r="B48" s="115"/>
      <c r="C48" s="115"/>
      <c r="D48" s="105" t="s">
        <v>8</v>
      </c>
      <c r="E48" s="106">
        <v>18477715.699999999</v>
      </c>
      <c r="F48" s="102"/>
    </row>
    <row r="49" spans="1:6" ht="17.25" customHeight="1" x14ac:dyDescent="0.2">
      <c r="A49" s="116">
        <v>5</v>
      </c>
      <c r="B49" s="113" t="s">
        <v>18</v>
      </c>
      <c r="C49" s="113" t="s">
        <v>19</v>
      </c>
      <c r="D49" s="105" t="s">
        <v>16</v>
      </c>
      <c r="E49" s="106">
        <v>13935257.449999999</v>
      </c>
      <c r="F49" s="102"/>
    </row>
    <row r="50" spans="1:6" ht="17.25" customHeight="1" x14ac:dyDescent="0.2">
      <c r="A50" s="117"/>
      <c r="B50" s="114"/>
      <c r="C50" s="114"/>
      <c r="D50" s="105" t="s">
        <v>7</v>
      </c>
      <c r="E50" s="106">
        <v>905223.6</v>
      </c>
      <c r="F50" s="102"/>
    </row>
    <row r="51" spans="1:6" ht="17.25" customHeight="1" x14ac:dyDescent="0.2">
      <c r="A51" s="117"/>
      <c r="B51" s="114"/>
      <c r="C51" s="114"/>
      <c r="D51" s="105" t="s">
        <v>250</v>
      </c>
      <c r="E51" s="106">
        <v>209028.86</v>
      </c>
      <c r="F51" s="102"/>
    </row>
    <row r="52" spans="1:6" ht="17.25" customHeight="1" x14ac:dyDescent="0.2">
      <c r="A52" s="118"/>
      <c r="B52" s="115"/>
      <c r="C52" s="115"/>
      <c r="D52" s="105" t="s">
        <v>8</v>
      </c>
      <c r="E52" s="106">
        <v>15049509.91</v>
      </c>
      <c r="F52" s="102"/>
    </row>
    <row r="53" spans="1:6" ht="17.25" customHeight="1" x14ac:dyDescent="0.2">
      <c r="A53" s="116">
        <v>6</v>
      </c>
      <c r="B53" s="113" t="s">
        <v>70</v>
      </c>
      <c r="C53" s="113">
        <v>3</v>
      </c>
      <c r="D53" s="105" t="s">
        <v>11</v>
      </c>
      <c r="E53" s="106">
        <v>2650429.63</v>
      </c>
      <c r="F53" s="102"/>
    </row>
    <row r="54" spans="1:6" ht="17.25" customHeight="1" x14ac:dyDescent="0.2">
      <c r="A54" s="117"/>
      <c r="B54" s="114"/>
      <c r="C54" s="114"/>
      <c r="D54" s="105" t="s">
        <v>12</v>
      </c>
      <c r="E54" s="106">
        <v>13770320.560000001</v>
      </c>
      <c r="F54" s="102"/>
    </row>
    <row r="55" spans="1:6" ht="17.25" customHeight="1" x14ac:dyDescent="0.2">
      <c r="A55" s="117"/>
      <c r="B55" s="114"/>
      <c r="C55" s="114"/>
      <c r="D55" s="105" t="s">
        <v>13</v>
      </c>
      <c r="E55" s="106">
        <v>2670127.75</v>
      </c>
      <c r="F55" s="102"/>
    </row>
    <row r="56" spans="1:6" ht="17.25" customHeight="1" x14ac:dyDescent="0.2">
      <c r="A56" s="117"/>
      <c r="B56" s="114"/>
      <c r="C56" s="114"/>
      <c r="D56" s="105" t="s">
        <v>14</v>
      </c>
      <c r="E56" s="106">
        <v>2839497.19</v>
      </c>
      <c r="F56" s="102"/>
    </row>
    <row r="57" spans="1:6" ht="17.25" customHeight="1" x14ac:dyDescent="0.2">
      <c r="A57" s="117"/>
      <c r="B57" s="114"/>
      <c r="C57" s="114"/>
      <c r="D57" s="105" t="s">
        <v>15</v>
      </c>
      <c r="E57" s="106">
        <v>2862765.06</v>
      </c>
      <c r="F57" s="102"/>
    </row>
    <row r="58" spans="1:6" ht="17.25" customHeight="1" x14ac:dyDescent="0.2">
      <c r="A58" s="117"/>
      <c r="B58" s="114"/>
      <c r="C58" s="114"/>
      <c r="D58" s="105" t="s">
        <v>7</v>
      </c>
      <c r="E58" s="106">
        <v>1306719.6000000001</v>
      </c>
      <c r="F58" s="102"/>
    </row>
    <row r="59" spans="1:6" ht="17.25" customHeight="1" x14ac:dyDescent="0.2">
      <c r="A59" s="117"/>
      <c r="B59" s="114"/>
      <c r="C59" s="114"/>
      <c r="D59" s="105" t="s">
        <v>250</v>
      </c>
      <c r="E59" s="106">
        <v>371897.1</v>
      </c>
      <c r="F59" s="102"/>
    </row>
    <row r="60" spans="1:6" ht="17.25" customHeight="1" x14ac:dyDescent="0.2">
      <c r="A60" s="118"/>
      <c r="B60" s="115"/>
      <c r="C60" s="115"/>
      <c r="D60" s="105" t="s">
        <v>8</v>
      </c>
      <c r="E60" s="106">
        <v>26471756.890000001</v>
      </c>
      <c r="F60" s="102"/>
    </row>
    <row r="61" spans="1:6" ht="17.25" customHeight="1" x14ac:dyDescent="0.2">
      <c r="A61" s="116">
        <v>7</v>
      </c>
      <c r="B61" s="113" t="s">
        <v>70</v>
      </c>
      <c r="C61" s="113">
        <v>13</v>
      </c>
      <c r="D61" s="105" t="s">
        <v>11</v>
      </c>
      <c r="E61" s="106">
        <v>2041451.38</v>
      </c>
      <c r="F61" s="102"/>
    </row>
    <row r="62" spans="1:6" ht="17.25" customHeight="1" x14ac:dyDescent="0.2">
      <c r="A62" s="117"/>
      <c r="B62" s="114"/>
      <c r="C62" s="114"/>
      <c r="D62" s="105" t="s">
        <v>12</v>
      </c>
      <c r="E62" s="106">
        <v>11096418.68</v>
      </c>
      <c r="F62" s="102"/>
    </row>
    <row r="63" spans="1:6" ht="17.25" customHeight="1" x14ac:dyDescent="0.2">
      <c r="A63" s="117"/>
      <c r="B63" s="114"/>
      <c r="C63" s="114"/>
      <c r="D63" s="105" t="s">
        <v>13</v>
      </c>
      <c r="E63" s="106">
        <v>2153917.54</v>
      </c>
      <c r="F63" s="102"/>
    </row>
    <row r="64" spans="1:6" ht="17.25" customHeight="1" x14ac:dyDescent="0.2">
      <c r="A64" s="117"/>
      <c r="B64" s="114"/>
      <c r="C64" s="114"/>
      <c r="D64" s="105" t="s">
        <v>15</v>
      </c>
      <c r="E64" s="106">
        <v>2130397.37</v>
      </c>
      <c r="F64" s="102"/>
    </row>
    <row r="65" spans="1:6" ht="17.25" customHeight="1" x14ac:dyDescent="0.2">
      <c r="A65" s="117"/>
      <c r="B65" s="114"/>
      <c r="C65" s="114"/>
      <c r="D65" s="105" t="s">
        <v>7</v>
      </c>
      <c r="E65" s="106">
        <v>1053721.2</v>
      </c>
      <c r="F65" s="102"/>
    </row>
    <row r="66" spans="1:6" ht="17.25" customHeight="1" x14ac:dyDescent="0.2">
      <c r="A66" s="117"/>
      <c r="B66" s="114"/>
      <c r="C66" s="114"/>
      <c r="D66" s="105" t="s">
        <v>250</v>
      </c>
      <c r="E66" s="106">
        <v>261332.77</v>
      </c>
      <c r="F66" s="102"/>
    </row>
    <row r="67" spans="1:6" ht="17.25" customHeight="1" x14ac:dyDescent="0.2">
      <c r="A67" s="118"/>
      <c r="B67" s="115"/>
      <c r="C67" s="115"/>
      <c r="D67" s="105" t="s">
        <v>8</v>
      </c>
      <c r="E67" s="106">
        <v>18737238.940000001</v>
      </c>
      <c r="F67" s="102"/>
    </row>
    <row r="68" spans="1:6" ht="17.25" customHeight="1" x14ac:dyDescent="0.2">
      <c r="A68" s="116">
        <v>8</v>
      </c>
      <c r="B68" s="113" t="s">
        <v>251</v>
      </c>
      <c r="C68" s="113">
        <v>41</v>
      </c>
      <c r="D68" s="105" t="s">
        <v>10</v>
      </c>
      <c r="E68" s="106">
        <v>15453257.550000001</v>
      </c>
      <c r="F68" s="102"/>
    </row>
    <row r="69" spans="1:6" ht="17.25" customHeight="1" x14ac:dyDescent="0.2">
      <c r="A69" s="117"/>
      <c r="B69" s="114"/>
      <c r="C69" s="114"/>
      <c r="D69" s="105" t="s">
        <v>7</v>
      </c>
      <c r="E69" s="106">
        <v>759255.6</v>
      </c>
      <c r="F69" s="102"/>
    </row>
    <row r="70" spans="1:6" ht="17.25" customHeight="1" x14ac:dyDescent="0.2">
      <c r="A70" s="117"/>
      <c r="B70" s="114"/>
      <c r="C70" s="114"/>
      <c r="D70" s="105" t="s">
        <v>250</v>
      </c>
      <c r="E70" s="106">
        <v>231798.86</v>
      </c>
      <c r="F70" s="102"/>
    </row>
    <row r="71" spans="1:6" ht="17.25" customHeight="1" x14ac:dyDescent="0.2">
      <c r="A71" s="118"/>
      <c r="B71" s="115"/>
      <c r="C71" s="115"/>
      <c r="D71" s="105" t="s">
        <v>8</v>
      </c>
      <c r="E71" s="106">
        <v>16444312.01</v>
      </c>
      <c r="F71" s="102"/>
    </row>
    <row r="72" spans="1:6" ht="17.25" customHeight="1" x14ac:dyDescent="0.2">
      <c r="A72" s="116">
        <v>9</v>
      </c>
      <c r="B72" s="113" t="s">
        <v>252</v>
      </c>
      <c r="C72" s="113" t="s">
        <v>253</v>
      </c>
      <c r="D72" s="105" t="s">
        <v>11</v>
      </c>
      <c r="E72" s="106">
        <v>1419470.25</v>
      </c>
      <c r="F72" s="102"/>
    </row>
    <row r="73" spans="1:6" ht="17.25" customHeight="1" x14ac:dyDescent="0.2">
      <c r="A73" s="117"/>
      <c r="B73" s="114"/>
      <c r="C73" s="114"/>
      <c r="D73" s="105" t="s">
        <v>12</v>
      </c>
      <c r="E73" s="106">
        <v>2007413.1</v>
      </c>
      <c r="F73" s="102"/>
    </row>
    <row r="74" spans="1:6" ht="17.25" customHeight="1" x14ac:dyDescent="0.2">
      <c r="A74" s="117"/>
      <c r="B74" s="114"/>
      <c r="C74" s="114"/>
      <c r="D74" s="105" t="s">
        <v>13</v>
      </c>
      <c r="E74" s="106">
        <v>1373701.69</v>
      </c>
      <c r="F74" s="102"/>
    </row>
    <row r="75" spans="1:6" ht="17.25" customHeight="1" x14ac:dyDescent="0.2">
      <c r="A75" s="117"/>
      <c r="B75" s="114"/>
      <c r="C75" s="114"/>
      <c r="D75" s="105" t="s">
        <v>14</v>
      </c>
      <c r="E75" s="106">
        <v>1358729.59</v>
      </c>
      <c r="F75" s="102"/>
    </row>
    <row r="76" spans="1:6" ht="17.25" customHeight="1" x14ac:dyDescent="0.2">
      <c r="A76" s="117"/>
      <c r="B76" s="114"/>
      <c r="C76" s="114"/>
      <c r="D76" s="105" t="s">
        <v>15</v>
      </c>
      <c r="E76" s="106">
        <v>2475579.15</v>
      </c>
      <c r="F76" s="102"/>
    </row>
    <row r="77" spans="1:6" ht="17.25" customHeight="1" x14ac:dyDescent="0.2">
      <c r="A77" s="117"/>
      <c r="B77" s="114"/>
      <c r="C77" s="114"/>
      <c r="D77" s="105" t="s">
        <v>29</v>
      </c>
      <c r="E77" s="106">
        <v>4501419.45</v>
      </c>
      <c r="F77" s="102"/>
    </row>
    <row r="78" spans="1:6" ht="17.25" customHeight="1" x14ac:dyDescent="0.2">
      <c r="A78" s="117"/>
      <c r="B78" s="114"/>
      <c r="C78" s="114"/>
      <c r="D78" s="105" t="s">
        <v>17</v>
      </c>
      <c r="E78" s="106">
        <v>2615303.39</v>
      </c>
      <c r="F78" s="102"/>
    </row>
    <row r="79" spans="1:6" ht="17.25" customHeight="1" x14ac:dyDescent="0.2">
      <c r="A79" s="117"/>
      <c r="B79" s="114"/>
      <c r="C79" s="114"/>
      <c r="D79" s="105" t="s">
        <v>7</v>
      </c>
      <c r="E79" s="106">
        <v>1362853.2</v>
      </c>
      <c r="F79" s="102"/>
    </row>
    <row r="80" spans="1:6" ht="17.25" customHeight="1" x14ac:dyDescent="0.2">
      <c r="A80" s="117"/>
      <c r="B80" s="114"/>
      <c r="C80" s="114"/>
      <c r="D80" s="105" t="s">
        <v>250</v>
      </c>
      <c r="E80" s="106">
        <v>236274.25</v>
      </c>
      <c r="F80" s="102"/>
    </row>
    <row r="81" spans="1:6" ht="17.25" customHeight="1" x14ac:dyDescent="0.2">
      <c r="A81" s="118"/>
      <c r="B81" s="115"/>
      <c r="C81" s="115"/>
      <c r="D81" s="105" t="s">
        <v>8</v>
      </c>
      <c r="E81" s="106">
        <v>17350744.07</v>
      </c>
      <c r="F81" s="102"/>
    </row>
    <row r="82" spans="1:6" ht="17.25" customHeight="1" x14ac:dyDescent="0.2">
      <c r="A82" s="116">
        <v>10</v>
      </c>
      <c r="B82" s="113" t="s">
        <v>254</v>
      </c>
      <c r="C82" s="113">
        <v>18</v>
      </c>
      <c r="D82" s="105" t="s">
        <v>11</v>
      </c>
      <c r="E82" s="106">
        <v>1684765.88</v>
      </c>
      <c r="F82" s="102"/>
    </row>
    <row r="83" spans="1:6" ht="17.25" customHeight="1" x14ac:dyDescent="0.2">
      <c r="A83" s="117"/>
      <c r="B83" s="114"/>
      <c r="C83" s="114"/>
      <c r="D83" s="105" t="s">
        <v>12</v>
      </c>
      <c r="E83" s="106">
        <v>2382593.85</v>
      </c>
      <c r="F83" s="102"/>
    </row>
    <row r="84" spans="1:6" ht="17.25" customHeight="1" x14ac:dyDescent="0.2">
      <c r="A84" s="117"/>
      <c r="B84" s="114"/>
      <c r="C84" s="114"/>
      <c r="D84" s="105" t="s">
        <v>13</v>
      </c>
      <c r="E84" s="106">
        <v>1630443.28</v>
      </c>
      <c r="F84" s="102"/>
    </row>
    <row r="85" spans="1:6" ht="17.25" customHeight="1" x14ac:dyDescent="0.2">
      <c r="A85" s="117"/>
      <c r="B85" s="114"/>
      <c r="C85" s="114"/>
      <c r="D85" s="105" t="s">
        <v>14</v>
      </c>
      <c r="E85" s="106">
        <v>1612672.93</v>
      </c>
      <c r="F85" s="102"/>
    </row>
    <row r="86" spans="1:6" ht="17.25" customHeight="1" x14ac:dyDescent="0.2">
      <c r="A86" s="117"/>
      <c r="B86" s="114"/>
      <c r="C86" s="114"/>
      <c r="D86" s="105" t="s">
        <v>15</v>
      </c>
      <c r="E86" s="106">
        <v>2938259.03</v>
      </c>
      <c r="F86" s="102"/>
    </row>
    <row r="87" spans="1:6" ht="17.25" customHeight="1" x14ac:dyDescent="0.2">
      <c r="A87" s="117"/>
      <c r="B87" s="114"/>
      <c r="C87" s="114"/>
      <c r="D87" s="105" t="s">
        <v>7</v>
      </c>
      <c r="E87" s="106">
        <v>1026529.2</v>
      </c>
      <c r="F87" s="102"/>
    </row>
    <row r="88" spans="1:6" ht="17.25" customHeight="1" x14ac:dyDescent="0.2">
      <c r="A88" s="117"/>
      <c r="B88" s="114"/>
      <c r="C88" s="114"/>
      <c r="D88" s="105" t="s">
        <v>250</v>
      </c>
      <c r="E88" s="106">
        <v>153731.01999999999</v>
      </c>
      <c r="F88" s="102"/>
    </row>
    <row r="89" spans="1:6" ht="17.25" customHeight="1" x14ac:dyDescent="0.2">
      <c r="A89" s="118"/>
      <c r="B89" s="115"/>
      <c r="C89" s="115"/>
      <c r="D89" s="105" t="s">
        <v>8</v>
      </c>
      <c r="E89" s="106">
        <v>11428995.189999999</v>
      </c>
      <c r="F89" s="102"/>
    </row>
    <row r="90" spans="1:6" ht="17.25" customHeight="1" x14ac:dyDescent="0.2">
      <c r="A90" s="116">
        <v>11</v>
      </c>
      <c r="B90" s="113" t="s">
        <v>254</v>
      </c>
      <c r="C90" s="113">
        <v>20</v>
      </c>
      <c r="D90" s="105" t="s">
        <v>10</v>
      </c>
      <c r="E90" s="106">
        <v>15585453.24</v>
      </c>
      <c r="F90" s="102"/>
    </row>
    <row r="91" spans="1:6" ht="17.25" customHeight="1" x14ac:dyDescent="0.2">
      <c r="A91" s="117"/>
      <c r="B91" s="114"/>
      <c r="C91" s="114"/>
      <c r="D91" s="105" t="s">
        <v>7</v>
      </c>
      <c r="E91" s="106">
        <v>1144066.8</v>
      </c>
      <c r="F91" s="102"/>
    </row>
    <row r="92" spans="1:6" ht="17.25" customHeight="1" x14ac:dyDescent="0.2">
      <c r="A92" s="117"/>
      <c r="B92" s="114"/>
      <c r="C92" s="114"/>
      <c r="D92" s="105" t="s">
        <v>250</v>
      </c>
      <c r="E92" s="106">
        <v>233781.8</v>
      </c>
      <c r="F92" s="102"/>
    </row>
    <row r="93" spans="1:6" ht="17.25" customHeight="1" x14ac:dyDescent="0.2">
      <c r="A93" s="118"/>
      <c r="B93" s="115"/>
      <c r="C93" s="115"/>
      <c r="D93" s="105" t="s">
        <v>8</v>
      </c>
      <c r="E93" s="106">
        <v>16963301.84</v>
      </c>
      <c r="F93" s="102"/>
    </row>
    <row r="94" spans="1:6" ht="17.25" customHeight="1" x14ac:dyDescent="0.2">
      <c r="A94" s="116">
        <v>12</v>
      </c>
      <c r="B94" s="113" t="s">
        <v>21</v>
      </c>
      <c r="C94" s="113" t="s">
        <v>255</v>
      </c>
      <c r="D94" s="105" t="s">
        <v>11</v>
      </c>
      <c r="E94" s="106">
        <v>659387.5</v>
      </c>
      <c r="F94" s="102"/>
    </row>
    <row r="95" spans="1:6" ht="17.25" customHeight="1" x14ac:dyDescent="0.2">
      <c r="A95" s="117"/>
      <c r="B95" s="114"/>
      <c r="C95" s="114"/>
      <c r="D95" s="105" t="s">
        <v>12</v>
      </c>
      <c r="E95" s="106">
        <v>5197953</v>
      </c>
      <c r="F95" s="102"/>
    </row>
    <row r="96" spans="1:6" ht="17.25" customHeight="1" x14ac:dyDescent="0.2">
      <c r="A96" s="117"/>
      <c r="B96" s="114"/>
      <c r="C96" s="114"/>
      <c r="D96" s="105" t="s">
        <v>13</v>
      </c>
      <c r="E96" s="106">
        <v>638126.6</v>
      </c>
      <c r="F96" s="102"/>
    </row>
    <row r="97" spans="1:6" ht="17.25" customHeight="1" x14ac:dyDescent="0.2">
      <c r="A97" s="117"/>
      <c r="B97" s="114"/>
      <c r="C97" s="114"/>
      <c r="D97" s="105" t="s">
        <v>14</v>
      </c>
      <c r="E97" s="106">
        <v>631171.6</v>
      </c>
      <c r="F97" s="102"/>
    </row>
    <row r="98" spans="1:6" ht="17.25" customHeight="1" x14ac:dyDescent="0.2">
      <c r="A98" s="117"/>
      <c r="B98" s="114"/>
      <c r="C98" s="114"/>
      <c r="D98" s="105" t="s">
        <v>15</v>
      </c>
      <c r="E98" s="106">
        <v>1149982.5</v>
      </c>
      <c r="F98" s="102"/>
    </row>
    <row r="99" spans="1:6" ht="17.25" customHeight="1" x14ac:dyDescent="0.2">
      <c r="A99" s="117"/>
      <c r="B99" s="114"/>
      <c r="C99" s="114"/>
      <c r="D99" s="105" t="s">
        <v>7</v>
      </c>
      <c r="E99" s="106">
        <v>868537.2</v>
      </c>
      <c r="F99" s="102"/>
    </row>
    <row r="100" spans="1:6" ht="17.25" customHeight="1" x14ac:dyDescent="0.2">
      <c r="A100" s="117"/>
      <c r="B100" s="114"/>
      <c r="C100" s="114"/>
      <c r="D100" s="105" t="s">
        <v>250</v>
      </c>
      <c r="E100" s="106">
        <v>124149.32</v>
      </c>
      <c r="F100" s="102"/>
    </row>
    <row r="101" spans="1:6" ht="17.25" customHeight="1" x14ac:dyDescent="0.2">
      <c r="A101" s="118"/>
      <c r="B101" s="115"/>
      <c r="C101" s="115"/>
      <c r="D101" s="105" t="s">
        <v>8</v>
      </c>
      <c r="E101" s="106">
        <v>9269307.7200000007</v>
      </c>
      <c r="F101" s="102"/>
    </row>
    <row r="102" spans="1:6" ht="17.25" customHeight="1" x14ac:dyDescent="0.2">
      <c r="A102" s="116">
        <v>13</v>
      </c>
      <c r="B102" s="113" t="s">
        <v>22</v>
      </c>
      <c r="C102" s="113">
        <v>67</v>
      </c>
      <c r="D102" s="105" t="s">
        <v>20</v>
      </c>
      <c r="E102" s="106">
        <v>3077341.98</v>
      </c>
      <c r="F102" s="102"/>
    </row>
    <row r="103" spans="1:6" ht="17.25" customHeight="1" x14ac:dyDescent="0.2">
      <c r="A103" s="117"/>
      <c r="B103" s="114"/>
      <c r="C103" s="114"/>
      <c r="D103" s="105" t="s">
        <v>29</v>
      </c>
      <c r="E103" s="106">
        <v>6432191.7400000002</v>
      </c>
      <c r="F103" s="102"/>
    </row>
    <row r="104" spans="1:6" ht="17.25" customHeight="1" x14ac:dyDescent="0.2">
      <c r="A104" s="117"/>
      <c r="B104" s="114"/>
      <c r="C104" s="114"/>
      <c r="D104" s="105" t="s">
        <v>17</v>
      </c>
      <c r="E104" s="106">
        <v>10334047.66</v>
      </c>
      <c r="F104" s="102"/>
    </row>
    <row r="105" spans="1:6" ht="17.25" customHeight="1" x14ac:dyDescent="0.2">
      <c r="A105" s="117"/>
      <c r="B105" s="114"/>
      <c r="C105" s="114"/>
      <c r="D105" s="105" t="s">
        <v>7</v>
      </c>
      <c r="E105" s="106">
        <v>2843278.8</v>
      </c>
      <c r="F105" s="102"/>
    </row>
    <row r="106" spans="1:6" ht="17.25" customHeight="1" x14ac:dyDescent="0.2">
      <c r="A106" s="117"/>
      <c r="B106" s="114"/>
      <c r="C106" s="114"/>
      <c r="D106" s="105" t="s">
        <v>250</v>
      </c>
      <c r="E106" s="106">
        <v>297653.71999999997</v>
      </c>
      <c r="F106" s="102"/>
    </row>
    <row r="107" spans="1:6" ht="17.25" customHeight="1" x14ac:dyDescent="0.2">
      <c r="A107" s="118"/>
      <c r="B107" s="115"/>
      <c r="C107" s="115"/>
      <c r="D107" s="105" t="s">
        <v>8</v>
      </c>
      <c r="E107" s="106">
        <v>22984513.899999999</v>
      </c>
      <c r="F107" s="102"/>
    </row>
    <row r="108" spans="1:6" ht="17.25" customHeight="1" x14ac:dyDescent="0.2">
      <c r="A108" s="116">
        <v>14</v>
      </c>
      <c r="B108" s="113" t="s">
        <v>22</v>
      </c>
      <c r="C108" s="113">
        <v>79</v>
      </c>
      <c r="D108" s="105" t="s">
        <v>20</v>
      </c>
      <c r="E108" s="106">
        <v>945017.45</v>
      </c>
      <c r="F108" s="102"/>
    </row>
    <row r="109" spans="1:6" ht="17.25" customHeight="1" x14ac:dyDescent="0.2">
      <c r="A109" s="117"/>
      <c r="B109" s="114"/>
      <c r="C109" s="114"/>
      <c r="D109" s="105" t="s">
        <v>7</v>
      </c>
      <c r="E109" s="106">
        <v>653260.80000000005</v>
      </c>
      <c r="F109" s="102"/>
    </row>
    <row r="110" spans="1:6" ht="17.25" customHeight="1" x14ac:dyDescent="0.2">
      <c r="A110" s="117"/>
      <c r="B110" s="114"/>
      <c r="C110" s="114"/>
      <c r="D110" s="105" t="s">
        <v>250</v>
      </c>
      <c r="E110" s="106">
        <v>14175.26</v>
      </c>
      <c r="F110" s="102"/>
    </row>
    <row r="111" spans="1:6" ht="17.25" customHeight="1" x14ac:dyDescent="0.2">
      <c r="A111" s="118"/>
      <c r="B111" s="115"/>
      <c r="C111" s="115"/>
      <c r="D111" s="105" t="s">
        <v>8</v>
      </c>
      <c r="E111" s="106">
        <v>1612453.51</v>
      </c>
      <c r="F111" s="102"/>
    </row>
    <row r="112" spans="1:6" ht="17.25" customHeight="1" x14ac:dyDescent="0.2">
      <c r="A112" s="116">
        <v>15</v>
      </c>
      <c r="B112" s="113" t="s">
        <v>22</v>
      </c>
      <c r="C112" s="113">
        <v>80</v>
      </c>
      <c r="D112" s="105" t="s">
        <v>11</v>
      </c>
      <c r="E112" s="106">
        <v>5787450.25</v>
      </c>
      <c r="F112" s="102"/>
    </row>
    <row r="113" spans="1:6" ht="17.25" customHeight="1" x14ac:dyDescent="0.2">
      <c r="A113" s="117"/>
      <c r="B113" s="114"/>
      <c r="C113" s="114"/>
      <c r="D113" s="105" t="s">
        <v>12</v>
      </c>
      <c r="E113" s="106">
        <v>30068727.120000001</v>
      </c>
      <c r="F113" s="102"/>
    </row>
    <row r="114" spans="1:6" ht="17.25" customHeight="1" x14ac:dyDescent="0.2">
      <c r="A114" s="117"/>
      <c r="B114" s="114"/>
      <c r="C114" s="114"/>
      <c r="D114" s="105" t="s">
        <v>17</v>
      </c>
      <c r="E114" s="106">
        <v>10663089.470000001</v>
      </c>
      <c r="F114" s="102"/>
    </row>
    <row r="115" spans="1:6" ht="17.25" customHeight="1" x14ac:dyDescent="0.2">
      <c r="A115" s="117"/>
      <c r="B115" s="114"/>
      <c r="C115" s="114"/>
      <c r="D115" s="105" t="s">
        <v>7</v>
      </c>
      <c r="E115" s="106">
        <v>2369395.2000000002</v>
      </c>
      <c r="F115" s="102"/>
    </row>
    <row r="116" spans="1:6" ht="17.25" customHeight="1" x14ac:dyDescent="0.2">
      <c r="A116" s="117"/>
      <c r="B116" s="114"/>
      <c r="C116" s="114"/>
      <c r="D116" s="105" t="s">
        <v>250</v>
      </c>
      <c r="E116" s="106">
        <v>697789</v>
      </c>
      <c r="F116" s="102"/>
    </row>
    <row r="117" spans="1:6" ht="17.25" customHeight="1" x14ac:dyDescent="0.2">
      <c r="A117" s="118"/>
      <c r="B117" s="115"/>
      <c r="C117" s="115"/>
      <c r="D117" s="105" t="s">
        <v>8</v>
      </c>
      <c r="E117" s="106">
        <v>49586451.039999999</v>
      </c>
      <c r="F117" s="102"/>
    </row>
    <row r="118" spans="1:6" ht="17.25" customHeight="1" x14ac:dyDescent="0.2">
      <c r="A118" s="116">
        <v>16</v>
      </c>
      <c r="B118" s="113" t="s">
        <v>256</v>
      </c>
      <c r="C118" s="113">
        <v>13</v>
      </c>
      <c r="D118" s="105" t="s">
        <v>10</v>
      </c>
      <c r="E118" s="106">
        <v>7546040.9699999997</v>
      </c>
      <c r="F118" s="102"/>
    </row>
    <row r="119" spans="1:6" ht="17.25" customHeight="1" x14ac:dyDescent="0.2">
      <c r="A119" s="117"/>
      <c r="B119" s="114"/>
      <c r="C119" s="114"/>
      <c r="D119" s="105" t="s">
        <v>7</v>
      </c>
      <c r="E119" s="106">
        <v>1114467.6000000001</v>
      </c>
      <c r="F119" s="102"/>
    </row>
    <row r="120" spans="1:6" ht="17.25" customHeight="1" x14ac:dyDescent="0.2">
      <c r="A120" s="117"/>
      <c r="B120" s="114"/>
      <c r="C120" s="114"/>
      <c r="D120" s="105" t="s">
        <v>250</v>
      </c>
      <c r="E120" s="106">
        <v>113190.61</v>
      </c>
      <c r="F120" s="102"/>
    </row>
    <row r="121" spans="1:6" ht="17.25" customHeight="1" x14ac:dyDescent="0.2">
      <c r="A121" s="118"/>
      <c r="B121" s="115"/>
      <c r="C121" s="115"/>
      <c r="D121" s="105" t="s">
        <v>8</v>
      </c>
      <c r="E121" s="106">
        <v>8773699.1799999997</v>
      </c>
      <c r="F121" s="102"/>
    </row>
    <row r="122" spans="1:6" ht="17.25" customHeight="1" x14ac:dyDescent="0.2">
      <c r="A122" s="116">
        <v>17</v>
      </c>
      <c r="B122" s="113" t="s">
        <v>257</v>
      </c>
      <c r="C122" s="113">
        <v>5</v>
      </c>
      <c r="D122" s="105" t="s">
        <v>10</v>
      </c>
      <c r="E122" s="106">
        <v>21604088.289999999</v>
      </c>
      <c r="F122" s="102"/>
    </row>
    <row r="123" spans="1:6" ht="17.25" customHeight="1" x14ac:dyDescent="0.2">
      <c r="A123" s="117"/>
      <c r="B123" s="114"/>
      <c r="C123" s="114"/>
      <c r="D123" s="105" t="s">
        <v>7</v>
      </c>
      <c r="E123" s="106">
        <v>1476280.8</v>
      </c>
      <c r="F123" s="102"/>
    </row>
    <row r="124" spans="1:6" ht="17.25" customHeight="1" x14ac:dyDescent="0.2">
      <c r="A124" s="117"/>
      <c r="B124" s="114"/>
      <c r="C124" s="114"/>
      <c r="D124" s="105" t="s">
        <v>250</v>
      </c>
      <c r="E124" s="106">
        <v>324061.32</v>
      </c>
      <c r="F124" s="102"/>
    </row>
    <row r="125" spans="1:6" ht="17.25" customHeight="1" x14ac:dyDescent="0.2">
      <c r="A125" s="118"/>
      <c r="B125" s="115"/>
      <c r="C125" s="115"/>
      <c r="D125" s="105" t="s">
        <v>8</v>
      </c>
      <c r="E125" s="106">
        <v>23404430.41</v>
      </c>
      <c r="F125" s="102"/>
    </row>
    <row r="126" spans="1:6" ht="17.25" customHeight="1" x14ac:dyDescent="0.2">
      <c r="A126" s="116">
        <v>18</v>
      </c>
      <c r="B126" s="113" t="s">
        <v>23</v>
      </c>
      <c r="C126" s="113">
        <v>22</v>
      </c>
      <c r="D126" s="105" t="s">
        <v>16</v>
      </c>
      <c r="E126" s="106">
        <v>6029829.3600000003</v>
      </c>
      <c r="F126" s="102"/>
    </row>
    <row r="127" spans="1:6" ht="17.25" customHeight="1" x14ac:dyDescent="0.2">
      <c r="A127" s="117"/>
      <c r="B127" s="114"/>
      <c r="C127" s="114"/>
      <c r="D127" s="105" t="s">
        <v>7</v>
      </c>
      <c r="E127" s="106">
        <v>377221.2</v>
      </c>
      <c r="F127" s="102"/>
    </row>
    <row r="128" spans="1:6" ht="17.25" customHeight="1" x14ac:dyDescent="0.2">
      <c r="A128" s="117"/>
      <c r="B128" s="114"/>
      <c r="C128" s="114"/>
      <c r="D128" s="105" t="s">
        <v>250</v>
      </c>
      <c r="E128" s="106">
        <v>90447.44</v>
      </c>
      <c r="F128" s="102"/>
    </row>
    <row r="129" spans="1:6" ht="17.25" customHeight="1" x14ac:dyDescent="0.2">
      <c r="A129" s="118"/>
      <c r="B129" s="115"/>
      <c r="C129" s="115"/>
      <c r="D129" s="105" t="s">
        <v>8</v>
      </c>
      <c r="E129" s="106">
        <v>6497498</v>
      </c>
      <c r="F129" s="102"/>
    </row>
    <row r="130" spans="1:6" ht="17.25" customHeight="1" x14ac:dyDescent="0.2">
      <c r="A130" s="116">
        <v>19</v>
      </c>
      <c r="B130" s="113" t="s">
        <v>24</v>
      </c>
      <c r="C130" s="113">
        <v>4</v>
      </c>
      <c r="D130" s="105" t="s">
        <v>10</v>
      </c>
      <c r="E130" s="106">
        <v>10290916.34</v>
      </c>
      <c r="F130" s="102"/>
    </row>
    <row r="131" spans="1:6" ht="17.25" customHeight="1" x14ac:dyDescent="0.2">
      <c r="A131" s="117"/>
      <c r="B131" s="114"/>
      <c r="C131" s="114"/>
      <c r="D131" s="105" t="s">
        <v>7</v>
      </c>
      <c r="E131" s="106">
        <v>692727.6</v>
      </c>
      <c r="F131" s="102"/>
    </row>
    <row r="132" spans="1:6" ht="17.25" customHeight="1" x14ac:dyDescent="0.2">
      <c r="A132" s="117"/>
      <c r="B132" s="114"/>
      <c r="C132" s="114"/>
      <c r="D132" s="105" t="s">
        <v>250</v>
      </c>
      <c r="E132" s="106">
        <v>154363.75</v>
      </c>
      <c r="F132" s="102"/>
    </row>
    <row r="133" spans="1:6" ht="17.25" customHeight="1" x14ac:dyDescent="0.2">
      <c r="A133" s="118"/>
      <c r="B133" s="115"/>
      <c r="C133" s="115"/>
      <c r="D133" s="105" t="s">
        <v>8</v>
      </c>
      <c r="E133" s="106">
        <v>11138007.689999999</v>
      </c>
      <c r="F133" s="102"/>
    </row>
    <row r="134" spans="1:6" ht="17.25" customHeight="1" x14ac:dyDescent="0.2">
      <c r="A134" s="116">
        <v>20</v>
      </c>
      <c r="B134" s="113" t="s">
        <v>24</v>
      </c>
      <c r="C134" s="113" t="s">
        <v>25</v>
      </c>
      <c r="D134" s="105" t="s">
        <v>10</v>
      </c>
      <c r="E134" s="106">
        <v>16560151.859999999</v>
      </c>
      <c r="F134" s="102"/>
    </row>
    <row r="135" spans="1:6" ht="17.25" customHeight="1" x14ac:dyDescent="0.2">
      <c r="A135" s="117"/>
      <c r="B135" s="114"/>
      <c r="C135" s="114"/>
      <c r="D135" s="105" t="s">
        <v>7</v>
      </c>
      <c r="E135" s="106">
        <v>784846.8</v>
      </c>
      <c r="F135" s="102"/>
    </row>
    <row r="136" spans="1:6" ht="17.25" customHeight="1" x14ac:dyDescent="0.2">
      <c r="A136" s="117"/>
      <c r="B136" s="114"/>
      <c r="C136" s="114"/>
      <c r="D136" s="105" t="s">
        <v>250</v>
      </c>
      <c r="E136" s="106">
        <v>248402.28</v>
      </c>
      <c r="F136" s="102"/>
    </row>
    <row r="137" spans="1:6" ht="17.25" customHeight="1" x14ac:dyDescent="0.2">
      <c r="A137" s="118"/>
      <c r="B137" s="115"/>
      <c r="C137" s="115"/>
      <c r="D137" s="105" t="s">
        <v>8</v>
      </c>
      <c r="E137" s="106">
        <v>17593400.940000001</v>
      </c>
      <c r="F137" s="102"/>
    </row>
    <row r="138" spans="1:6" ht="17.25" customHeight="1" x14ac:dyDescent="0.2">
      <c r="A138" s="116">
        <v>21</v>
      </c>
      <c r="B138" s="113" t="s">
        <v>24</v>
      </c>
      <c r="C138" s="113" t="s">
        <v>258</v>
      </c>
      <c r="D138" s="105" t="s">
        <v>10</v>
      </c>
      <c r="E138" s="106">
        <v>20479479.25</v>
      </c>
      <c r="F138" s="102"/>
    </row>
    <row r="139" spans="1:6" ht="17.25" customHeight="1" x14ac:dyDescent="0.2">
      <c r="A139" s="117"/>
      <c r="B139" s="114"/>
      <c r="C139" s="114"/>
      <c r="D139" s="105" t="s">
        <v>7</v>
      </c>
      <c r="E139" s="106">
        <v>825242.4</v>
      </c>
      <c r="F139" s="102"/>
    </row>
    <row r="140" spans="1:6" ht="17.25" customHeight="1" x14ac:dyDescent="0.2">
      <c r="A140" s="117"/>
      <c r="B140" s="114"/>
      <c r="C140" s="114"/>
      <c r="D140" s="105" t="s">
        <v>250</v>
      </c>
      <c r="E140" s="106">
        <v>307192.19</v>
      </c>
      <c r="F140" s="102"/>
    </row>
    <row r="141" spans="1:6" ht="17.25" customHeight="1" x14ac:dyDescent="0.2">
      <c r="A141" s="118"/>
      <c r="B141" s="115"/>
      <c r="C141" s="115"/>
      <c r="D141" s="105" t="s">
        <v>8</v>
      </c>
      <c r="E141" s="106">
        <v>21611913.84</v>
      </c>
      <c r="F141" s="102"/>
    </row>
    <row r="142" spans="1:6" ht="17.25" customHeight="1" x14ac:dyDescent="0.2">
      <c r="A142" s="116">
        <v>22</v>
      </c>
      <c r="B142" s="113" t="s">
        <v>259</v>
      </c>
      <c r="C142" s="113">
        <v>3</v>
      </c>
      <c r="D142" s="105" t="s">
        <v>10</v>
      </c>
      <c r="E142" s="106">
        <v>15200041.140000001</v>
      </c>
      <c r="F142" s="102"/>
    </row>
    <row r="143" spans="1:6" ht="17.25" customHeight="1" x14ac:dyDescent="0.2">
      <c r="A143" s="117"/>
      <c r="B143" s="114"/>
      <c r="C143" s="114"/>
      <c r="D143" s="105" t="s">
        <v>7</v>
      </c>
      <c r="E143" s="106">
        <v>1290904.8</v>
      </c>
      <c r="F143" s="102"/>
    </row>
    <row r="144" spans="1:6" ht="17.25" customHeight="1" x14ac:dyDescent="0.2">
      <c r="A144" s="117"/>
      <c r="B144" s="114"/>
      <c r="C144" s="114"/>
      <c r="D144" s="105" t="s">
        <v>250</v>
      </c>
      <c r="E144" s="106">
        <v>228000.62</v>
      </c>
      <c r="F144" s="102"/>
    </row>
    <row r="145" spans="1:6" ht="17.25" customHeight="1" x14ac:dyDescent="0.2">
      <c r="A145" s="118"/>
      <c r="B145" s="115"/>
      <c r="C145" s="115"/>
      <c r="D145" s="105" t="s">
        <v>8</v>
      </c>
      <c r="E145" s="106">
        <v>16718946.560000001</v>
      </c>
      <c r="F145" s="102"/>
    </row>
    <row r="146" spans="1:6" ht="17.25" customHeight="1" x14ac:dyDescent="0.2">
      <c r="A146" s="116">
        <v>23</v>
      </c>
      <c r="B146" s="113" t="s">
        <v>260</v>
      </c>
      <c r="C146" s="113">
        <v>2</v>
      </c>
      <c r="D146" s="105" t="s">
        <v>10</v>
      </c>
      <c r="E146" s="106">
        <v>11190993.41</v>
      </c>
      <c r="F146" s="102"/>
    </row>
    <row r="147" spans="1:6" ht="17.25" customHeight="1" x14ac:dyDescent="0.2">
      <c r="A147" s="117"/>
      <c r="B147" s="114"/>
      <c r="C147" s="114"/>
      <c r="D147" s="105" t="s">
        <v>7</v>
      </c>
      <c r="E147" s="106">
        <v>708530.4</v>
      </c>
      <c r="F147" s="102"/>
    </row>
    <row r="148" spans="1:6" ht="17.25" customHeight="1" x14ac:dyDescent="0.2">
      <c r="A148" s="117"/>
      <c r="B148" s="114"/>
      <c r="C148" s="114"/>
      <c r="D148" s="105" t="s">
        <v>250</v>
      </c>
      <c r="E148" s="106">
        <v>167864.9</v>
      </c>
      <c r="F148" s="102"/>
    </row>
    <row r="149" spans="1:6" ht="17.25" customHeight="1" x14ac:dyDescent="0.2">
      <c r="A149" s="118"/>
      <c r="B149" s="115"/>
      <c r="C149" s="115"/>
      <c r="D149" s="105" t="s">
        <v>8</v>
      </c>
      <c r="E149" s="106">
        <v>12067388.710000001</v>
      </c>
      <c r="F149" s="102"/>
    </row>
    <row r="150" spans="1:6" ht="17.25" customHeight="1" x14ac:dyDescent="0.2">
      <c r="A150" s="116">
        <v>24</v>
      </c>
      <c r="B150" s="113" t="s">
        <v>261</v>
      </c>
      <c r="C150" s="113">
        <v>3</v>
      </c>
      <c r="D150" s="105" t="s">
        <v>10</v>
      </c>
      <c r="E150" s="106">
        <v>7483639.0300000003</v>
      </c>
      <c r="F150" s="102"/>
    </row>
    <row r="151" spans="1:6" ht="17.25" customHeight="1" x14ac:dyDescent="0.2">
      <c r="A151" s="117"/>
      <c r="B151" s="114"/>
      <c r="C151" s="114"/>
      <c r="D151" s="105" t="s">
        <v>7</v>
      </c>
      <c r="E151" s="106">
        <v>1115485.2</v>
      </c>
      <c r="F151" s="102"/>
    </row>
    <row r="152" spans="1:6" ht="17.25" customHeight="1" x14ac:dyDescent="0.2">
      <c r="A152" s="117"/>
      <c r="B152" s="114"/>
      <c r="C152" s="114"/>
      <c r="D152" s="105" t="s">
        <v>250</v>
      </c>
      <c r="E152" s="106">
        <v>112254.59</v>
      </c>
      <c r="F152" s="102"/>
    </row>
    <row r="153" spans="1:6" ht="17.25" customHeight="1" x14ac:dyDescent="0.2">
      <c r="A153" s="118"/>
      <c r="B153" s="115"/>
      <c r="C153" s="115"/>
      <c r="D153" s="105" t="s">
        <v>10</v>
      </c>
      <c r="E153" s="106">
        <v>8711378.8200000003</v>
      </c>
      <c r="F153" s="102"/>
    </row>
    <row r="154" spans="1:6" ht="17.25" customHeight="1" x14ac:dyDescent="0.2">
      <c r="A154" s="116">
        <v>25</v>
      </c>
      <c r="B154" s="113" t="s">
        <v>26</v>
      </c>
      <c r="C154" s="113">
        <v>4</v>
      </c>
      <c r="D154" s="105" t="s">
        <v>11</v>
      </c>
      <c r="E154" s="106">
        <v>2399431</v>
      </c>
      <c r="F154" s="102"/>
    </row>
    <row r="155" spans="1:6" ht="17.25" customHeight="1" x14ac:dyDescent="0.2">
      <c r="A155" s="117"/>
      <c r="B155" s="114"/>
      <c r="C155" s="114"/>
      <c r="D155" s="105" t="s">
        <v>12</v>
      </c>
      <c r="E155" s="106">
        <v>12466255.93</v>
      </c>
      <c r="F155" s="102"/>
    </row>
    <row r="156" spans="1:6" ht="17.25" customHeight="1" x14ac:dyDescent="0.2">
      <c r="A156" s="117"/>
      <c r="B156" s="114"/>
      <c r="C156" s="114"/>
      <c r="D156" s="105" t="s">
        <v>13</v>
      </c>
      <c r="E156" s="106">
        <v>2417263.69</v>
      </c>
      <c r="F156" s="102"/>
    </row>
    <row r="157" spans="1:6" ht="17.25" customHeight="1" x14ac:dyDescent="0.2">
      <c r="A157" s="117"/>
      <c r="B157" s="114"/>
      <c r="C157" s="114"/>
      <c r="D157" s="105" t="s">
        <v>14</v>
      </c>
      <c r="E157" s="106">
        <v>2570593.66</v>
      </c>
      <c r="F157" s="102"/>
    </row>
    <row r="158" spans="1:6" ht="17.25" customHeight="1" x14ac:dyDescent="0.2">
      <c r="A158" s="117"/>
      <c r="B158" s="114"/>
      <c r="C158" s="114"/>
      <c r="D158" s="105" t="s">
        <v>15</v>
      </c>
      <c r="E158" s="106">
        <v>2591658.0299999998</v>
      </c>
      <c r="F158" s="102"/>
    </row>
    <row r="159" spans="1:6" ht="17.25" customHeight="1" x14ac:dyDescent="0.2">
      <c r="A159" s="117"/>
      <c r="B159" s="114"/>
      <c r="C159" s="114"/>
      <c r="D159" s="105" t="s">
        <v>29</v>
      </c>
      <c r="E159" s="106">
        <v>2751646.06</v>
      </c>
      <c r="F159" s="102"/>
    </row>
    <row r="160" spans="1:6" ht="17.25" customHeight="1" x14ac:dyDescent="0.2">
      <c r="A160" s="117"/>
      <c r="B160" s="114"/>
      <c r="C160" s="114"/>
      <c r="D160" s="105" t="s">
        <v>16</v>
      </c>
      <c r="E160" s="106">
        <v>13376813.220000001</v>
      </c>
      <c r="F160" s="102"/>
    </row>
    <row r="161" spans="1:6" ht="17.25" customHeight="1" x14ac:dyDescent="0.2">
      <c r="A161" s="117"/>
      <c r="B161" s="114"/>
      <c r="C161" s="114"/>
      <c r="D161" s="105" t="s">
        <v>17</v>
      </c>
      <c r="E161" s="106">
        <v>4420832.38</v>
      </c>
      <c r="F161" s="102"/>
    </row>
    <row r="162" spans="1:6" ht="17.25" customHeight="1" x14ac:dyDescent="0.2">
      <c r="A162" s="117"/>
      <c r="B162" s="114"/>
      <c r="C162" s="114"/>
      <c r="D162" s="105" t="s">
        <v>7</v>
      </c>
      <c r="E162" s="106">
        <v>2304175.2000000002</v>
      </c>
      <c r="F162" s="102"/>
    </row>
    <row r="163" spans="1:6" ht="17.25" customHeight="1" x14ac:dyDescent="0.2">
      <c r="A163" s="117"/>
      <c r="B163" s="114"/>
      <c r="C163" s="114"/>
      <c r="D163" s="105" t="s">
        <v>250</v>
      </c>
      <c r="E163" s="106">
        <v>644917.41</v>
      </c>
      <c r="F163" s="102"/>
    </row>
    <row r="164" spans="1:6" ht="17.25" customHeight="1" x14ac:dyDescent="0.2">
      <c r="A164" s="118"/>
      <c r="B164" s="115"/>
      <c r="C164" s="115"/>
      <c r="D164" s="105" t="s">
        <v>8</v>
      </c>
      <c r="E164" s="106">
        <v>45943586.579999998</v>
      </c>
      <c r="F164" s="102"/>
    </row>
    <row r="165" spans="1:6" ht="17.25" customHeight="1" x14ac:dyDescent="0.2">
      <c r="A165" s="116">
        <v>26</v>
      </c>
      <c r="B165" s="113" t="s">
        <v>27</v>
      </c>
      <c r="C165" s="113" t="s">
        <v>28</v>
      </c>
      <c r="D165" s="105" t="s">
        <v>16</v>
      </c>
      <c r="E165" s="106">
        <v>11200703.32</v>
      </c>
      <c r="F165" s="102"/>
    </row>
    <row r="166" spans="1:6" ht="17.25" customHeight="1" x14ac:dyDescent="0.2">
      <c r="A166" s="117"/>
      <c r="B166" s="114"/>
      <c r="C166" s="114"/>
      <c r="D166" s="105" t="s">
        <v>7</v>
      </c>
      <c r="E166" s="106">
        <v>937663.2</v>
      </c>
      <c r="F166" s="102"/>
    </row>
    <row r="167" spans="1:6" ht="17.25" customHeight="1" x14ac:dyDescent="0.2">
      <c r="A167" s="117"/>
      <c r="B167" s="114"/>
      <c r="C167" s="114"/>
      <c r="D167" s="105" t="s">
        <v>250</v>
      </c>
      <c r="E167" s="106">
        <v>168010.55</v>
      </c>
      <c r="F167" s="102"/>
    </row>
    <row r="168" spans="1:6" ht="17.25" customHeight="1" x14ac:dyDescent="0.2">
      <c r="A168" s="118"/>
      <c r="B168" s="115"/>
      <c r="C168" s="115"/>
      <c r="D168" s="105" t="s">
        <v>8</v>
      </c>
      <c r="E168" s="106">
        <v>12306377.07</v>
      </c>
      <c r="F168" s="102"/>
    </row>
    <row r="169" spans="1:6" ht="17.25" customHeight="1" x14ac:dyDescent="0.2">
      <c r="A169" s="116">
        <v>27</v>
      </c>
      <c r="B169" s="113" t="s">
        <v>27</v>
      </c>
      <c r="C169" s="113">
        <v>54</v>
      </c>
      <c r="D169" s="105" t="s">
        <v>16</v>
      </c>
      <c r="E169" s="106">
        <v>5300881.95</v>
      </c>
      <c r="F169" s="102"/>
    </row>
    <row r="170" spans="1:6" ht="17.25" customHeight="1" x14ac:dyDescent="0.2">
      <c r="A170" s="117"/>
      <c r="B170" s="114"/>
      <c r="C170" s="114"/>
      <c r="D170" s="105" t="s">
        <v>7</v>
      </c>
      <c r="E170" s="106">
        <v>794210.4</v>
      </c>
      <c r="F170" s="102"/>
    </row>
    <row r="171" spans="1:6" ht="17.25" customHeight="1" x14ac:dyDescent="0.2">
      <c r="A171" s="117"/>
      <c r="B171" s="114"/>
      <c r="C171" s="114"/>
      <c r="D171" s="105" t="s">
        <v>250</v>
      </c>
      <c r="E171" s="106">
        <v>79513.23</v>
      </c>
      <c r="F171" s="102"/>
    </row>
    <row r="172" spans="1:6" ht="17.25" customHeight="1" x14ac:dyDescent="0.2">
      <c r="A172" s="118"/>
      <c r="B172" s="115"/>
      <c r="C172" s="115"/>
      <c r="D172" s="105" t="s">
        <v>8</v>
      </c>
      <c r="E172" s="106">
        <v>6174605.5800000001</v>
      </c>
      <c r="F172" s="102"/>
    </row>
    <row r="173" spans="1:6" ht="17.25" customHeight="1" x14ac:dyDescent="0.2">
      <c r="A173" s="116">
        <v>28</v>
      </c>
      <c r="B173" s="113" t="s">
        <v>262</v>
      </c>
      <c r="C173" s="113">
        <v>10</v>
      </c>
      <c r="D173" s="105" t="s">
        <v>11</v>
      </c>
      <c r="E173" s="106">
        <v>1399565.38</v>
      </c>
      <c r="F173" s="102"/>
    </row>
    <row r="174" spans="1:6" ht="17.25" customHeight="1" x14ac:dyDescent="0.2">
      <c r="A174" s="117"/>
      <c r="B174" s="114"/>
      <c r="C174" s="114"/>
      <c r="D174" s="105" t="s">
        <v>12</v>
      </c>
      <c r="E174" s="106">
        <v>1979263.65</v>
      </c>
      <c r="F174" s="102"/>
    </row>
    <row r="175" spans="1:6" ht="17.25" customHeight="1" x14ac:dyDescent="0.2">
      <c r="A175" s="117"/>
      <c r="B175" s="114"/>
      <c r="C175" s="114"/>
      <c r="D175" s="105" t="s">
        <v>13</v>
      </c>
      <c r="E175" s="106">
        <v>1354438.62</v>
      </c>
      <c r="F175" s="102"/>
    </row>
    <row r="176" spans="1:6" ht="17.25" customHeight="1" x14ac:dyDescent="0.2">
      <c r="A176" s="117"/>
      <c r="B176" s="114"/>
      <c r="C176" s="114"/>
      <c r="D176" s="105" t="s">
        <v>14</v>
      </c>
      <c r="E176" s="106">
        <v>1339676.47</v>
      </c>
      <c r="F176" s="102"/>
    </row>
    <row r="177" spans="1:15" ht="17.25" customHeight="1" x14ac:dyDescent="0.2">
      <c r="A177" s="117"/>
      <c r="B177" s="114"/>
      <c r="C177" s="114"/>
      <c r="D177" s="105" t="s">
        <v>15</v>
      </c>
      <c r="E177" s="106">
        <v>2440864.73</v>
      </c>
      <c r="F177" s="102"/>
    </row>
    <row r="178" spans="1:15" ht="17.25" customHeight="1" x14ac:dyDescent="0.2">
      <c r="A178" s="117"/>
      <c r="B178" s="114"/>
      <c r="C178" s="114"/>
      <c r="D178" s="105" t="s">
        <v>29</v>
      </c>
      <c r="E178" s="106">
        <v>4438297.18</v>
      </c>
      <c r="F178" s="102"/>
    </row>
    <row r="179" spans="1:15" ht="17.25" customHeight="1" x14ac:dyDescent="0.2">
      <c r="A179" s="117"/>
      <c r="B179" s="114"/>
      <c r="C179" s="114"/>
      <c r="D179" s="105" t="s">
        <v>16</v>
      </c>
      <c r="E179" s="106">
        <v>6013577.5599999996</v>
      </c>
      <c r="F179" s="102"/>
    </row>
    <row r="180" spans="1:15" ht="17.25" customHeight="1" x14ac:dyDescent="0.2">
      <c r="A180" s="117"/>
      <c r="B180" s="114"/>
      <c r="C180" s="114"/>
      <c r="D180" s="105" t="s">
        <v>17</v>
      </c>
      <c r="E180" s="106">
        <v>2578629.65</v>
      </c>
      <c r="F180" s="102"/>
    </row>
    <row r="181" spans="1:15" ht="17.25" customHeight="1" x14ac:dyDescent="0.2">
      <c r="A181" s="117"/>
      <c r="B181" s="114"/>
      <c r="C181" s="114"/>
      <c r="D181" s="105" t="s">
        <v>7</v>
      </c>
      <c r="E181" s="106">
        <v>1912864.8</v>
      </c>
      <c r="F181" s="102"/>
    </row>
    <row r="182" spans="1:15" ht="17.25" customHeight="1" x14ac:dyDescent="0.2">
      <c r="A182" s="117"/>
      <c r="B182" s="114"/>
      <c r="C182" s="114"/>
      <c r="D182" s="105" t="s">
        <v>250</v>
      </c>
      <c r="E182" s="106">
        <v>323164.7</v>
      </c>
      <c r="F182" s="102"/>
    </row>
    <row r="183" spans="1:15" ht="17.25" customHeight="1" x14ac:dyDescent="0.2">
      <c r="A183" s="118"/>
      <c r="B183" s="115"/>
      <c r="C183" s="115"/>
      <c r="D183" s="105" t="s">
        <v>8</v>
      </c>
      <c r="E183" s="106">
        <v>23780342.739999998</v>
      </c>
      <c r="F183" s="102"/>
    </row>
    <row r="184" spans="1:15" ht="17.25" customHeight="1" x14ac:dyDescent="0.2">
      <c r="A184" s="116">
        <v>29</v>
      </c>
      <c r="B184" s="113" t="s">
        <v>30</v>
      </c>
      <c r="C184" s="113" t="s">
        <v>31</v>
      </c>
      <c r="D184" s="105" t="s">
        <v>16</v>
      </c>
      <c r="E184" s="106">
        <v>8649699.7100000009</v>
      </c>
      <c r="F184" s="102"/>
    </row>
    <row r="185" spans="1:15" ht="17.25" customHeight="1" x14ac:dyDescent="0.2">
      <c r="A185" s="117"/>
      <c r="B185" s="114"/>
      <c r="C185" s="114"/>
      <c r="D185" s="105" t="s">
        <v>7</v>
      </c>
      <c r="E185" s="106">
        <v>877893.6</v>
      </c>
      <c r="F185" s="102"/>
    </row>
    <row r="186" spans="1:15" ht="17.25" customHeight="1" x14ac:dyDescent="0.2">
      <c r="A186" s="117"/>
      <c r="B186" s="114"/>
      <c r="C186" s="114"/>
      <c r="D186" s="105" t="s">
        <v>250</v>
      </c>
      <c r="E186" s="106">
        <v>129745.5</v>
      </c>
      <c r="F186" s="102"/>
    </row>
    <row r="187" spans="1:15" ht="17.25" customHeight="1" x14ac:dyDescent="0.2">
      <c r="A187" s="118"/>
      <c r="B187" s="115"/>
      <c r="C187" s="115"/>
      <c r="D187" s="105" t="s">
        <v>8</v>
      </c>
      <c r="E187" s="106">
        <v>9657338.8100000005</v>
      </c>
      <c r="F187" s="102"/>
    </row>
    <row r="188" spans="1:15" s="99" customFormat="1" ht="54" customHeight="1" x14ac:dyDescent="0.2">
      <c r="A188" s="96"/>
      <c r="B188" s="97"/>
      <c r="C188" s="107"/>
      <c r="D188" s="108"/>
      <c r="F188" s="97"/>
      <c r="G188" s="97"/>
      <c r="H188" s="97"/>
      <c r="I188" s="97"/>
      <c r="J188" s="97"/>
      <c r="K188" s="97"/>
      <c r="L188" s="97"/>
      <c r="M188" s="97"/>
      <c r="N188" s="97"/>
      <c r="O188" s="97"/>
    </row>
    <row r="191" spans="1:15" s="99" customFormat="1" ht="15.6" customHeight="1" x14ac:dyDescent="0.2">
      <c r="A191" s="119"/>
      <c r="B191" s="119"/>
      <c r="C191" s="119"/>
      <c r="D191" s="119"/>
      <c r="F191" s="97"/>
      <c r="G191" s="97"/>
      <c r="H191" s="97"/>
      <c r="I191" s="97"/>
      <c r="J191" s="97"/>
      <c r="K191" s="97"/>
      <c r="L191" s="97"/>
      <c r="M191" s="97"/>
      <c r="N191" s="97"/>
      <c r="O191" s="97"/>
    </row>
  </sheetData>
  <mergeCells count="108">
    <mergeCell ref="D1:E1"/>
    <mergeCell ref="K1:O1"/>
    <mergeCell ref="D2:E2"/>
    <mergeCell ref="K2:O2"/>
    <mergeCell ref="D3:E3"/>
    <mergeCell ref="K3:O3"/>
    <mergeCell ref="A13:E13"/>
    <mergeCell ref="A15:A16"/>
    <mergeCell ref="B15:B16"/>
    <mergeCell ref="C15:C16"/>
    <mergeCell ref="D15:D16"/>
    <mergeCell ref="E15:E16"/>
    <mergeCell ref="D4:E4"/>
    <mergeCell ref="K4:O4"/>
    <mergeCell ref="A7:E7"/>
    <mergeCell ref="A8:E8"/>
    <mergeCell ref="A10:E10"/>
    <mergeCell ref="A12:E12"/>
    <mergeCell ref="A11:E11"/>
    <mergeCell ref="A9:E9"/>
    <mergeCell ref="C34:C39"/>
    <mergeCell ref="B34:B39"/>
    <mergeCell ref="A34:A39"/>
    <mergeCell ref="C26:C33"/>
    <mergeCell ref="B26:B33"/>
    <mergeCell ref="A26:A33"/>
    <mergeCell ref="C18:C25"/>
    <mergeCell ref="B18:B25"/>
    <mergeCell ref="A18:A25"/>
    <mergeCell ref="C61:C67"/>
    <mergeCell ref="B61:B67"/>
    <mergeCell ref="A61:A67"/>
    <mergeCell ref="C68:C71"/>
    <mergeCell ref="B68:B71"/>
    <mergeCell ref="A68:A71"/>
    <mergeCell ref="C40:C48"/>
    <mergeCell ref="B40:B48"/>
    <mergeCell ref="A40:A48"/>
    <mergeCell ref="C49:C52"/>
    <mergeCell ref="B49:B52"/>
    <mergeCell ref="A49:A52"/>
    <mergeCell ref="C53:C60"/>
    <mergeCell ref="B53:B60"/>
    <mergeCell ref="A53:A60"/>
    <mergeCell ref="C82:C89"/>
    <mergeCell ref="B82:B89"/>
    <mergeCell ref="A82:A89"/>
    <mergeCell ref="C90:C93"/>
    <mergeCell ref="B90:B93"/>
    <mergeCell ref="A90:A93"/>
    <mergeCell ref="C72:C81"/>
    <mergeCell ref="B72:B81"/>
    <mergeCell ref="A72:A81"/>
    <mergeCell ref="C94:C101"/>
    <mergeCell ref="B94:B101"/>
    <mergeCell ref="A94:A101"/>
    <mergeCell ref="C102:C107"/>
    <mergeCell ref="B102:B107"/>
    <mergeCell ref="A102:A107"/>
    <mergeCell ref="C108:C111"/>
    <mergeCell ref="B108:B111"/>
    <mergeCell ref="A108:A111"/>
    <mergeCell ref="C112:C117"/>
    <mergeCell ref="B112:B117"/>
    <mergeCell ref="A112:A117"/>
    <mergeCell ref="C118:C121"/>
    <mergeCell ref="B118:B121"/>
    <mergeCell ref="A118:A121"/>
    <mergeCell ref="C122:C125"/>
    <mergeCell ref="B122:B125"/>
    <mergeCell ref="A122:A125"/>
    <mergeCell ref="B134:B137"/>
    <mergeCell ref="A134:A137"/>
    <mergeCell ref="C126:C129"/>
    <mergeCell ref="B126:B129"/>
    <mergeCell ref="A126:A129"/>
    <mergeCell ref="C130:C133"/>
    <mergeCell ref="B130:B133"/>
    <mergeCell ref="A130:A133"/>
    <mergeCell ref="C134:C137"/>
    <mergeCell ref="A191:D191"/>
    <mergeCell ref="C173:C183"/>
    <mergeCell ref="B173:B183"/>
    <mergeCell ref="A173:A183"/>
    <mergeCell ref="C184:C187"/>
    <mergeCell ref="B184:B187"/>
    <mergeCell ref="A184:A187"/>
    <mergeCell ref="C165:C168"/>
    <mergeCell ref="B165:B168"/>
    <mergeCell ref="A165:A168"/>
    <mergeCell ref="B169:B172"/>
    <mergeCell ref="C169:C172"/>
    <mergeCell ref="A169:A172"/>
    <mergeCell ref="C154:C164"/>
    <mergeCell ref="B154:B164"/>
    <mergeCell ref="A154:A164"/>
    <mergeCell ref="B138:B141"/>
    <mergeCell ref="C138:C141"/>
    <mergeCell ref="A138:A141"/>
    <mergeCell ref="C142:C145"/>
    <mergeCell ref="B142:B145"/>
    <mergeCell ref="A142:A145"/>
    <mergeCell ref="C146:C149"/>
    <mergeCell ref="B146:B149"/>
    <mergeCell ref="A146:A149"/>
    <mergeCell ref="C150:C153"/>
    <mergeCell ref="B150:B153"/>
    <mergeCell ref="A150:A153"/>
  </mergeCells>
  <phoneticPr fontId="32" type="noConversion"/>
  <pageMargins left="1.1811023622047245" right="0.19685039370078741" top="0.74803149606299213" bottom="0.74803149606299213" header="0.31496062992125984" footer="0.31496062992125984"/>
  <pageSetup paperSize="9" scale="53" orientation="portrait" useFirstPageNumber="1" r:id="rId1"/>
  <headerFooter differentFirst="1">
    <oddHeader>&amp;C&amp;12
&amp;P</oddHeader>
  </headerFooter>
  <rowBreaks count="2" manualBreakCount="2">
    <brk id="67" max="4" man="1"/>
    <brk id="1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572D6-5B59-4FCF-BA9E-C8666CF37841}">
  <dimension ref="A2:BQ135"/>
  <sheetViews>
    <sheetView topLeftCell="A115" zoomScale="40" zoomScaleNormal="40" workbookViewId="0">
      <selection activeCell="N14" sqref="N14"/>
    </sheetView>
  </sheetViews>
  <sheetFormatPr defaultColWidth="10.6640625" defaultRowHeight="23.25" x14ac:dyDescent="0.35"/>
  <cols>
    <col min="1" max="1" width="12" style="1" customWidth="1"/>
    <col min="2" max="2" width="12.5" style="1" customWidth="1"/>
    <col min="3" max="3" width="48" style="2" customWidth="1"/>
    <col min="4" max="4" width="12.5" style="1" customWidth="1"/>
    <col min="5" max="5" width="13.1640625" style="1" customWidth="1"/>
    <col min="6" max="6" width="18.1640625" style="3" customWidth="1"/>
    <col min="7" max="7" width="16.83203125" style="3" customWidth="1"/>
    <col min="8" max="8" width="14" style="3" customWidth="1"/>
    <col min="9" max="10" width="12.5" style="1" customWidth="1"/>
    <col min="11" max="11" width="12.6640625" style="4" customWidth="1"/>
    <col min="12" max="12" width="13.1640625" style="1" customWidth="1"/>
    <col min="13" max="13" width="35.33203125" style="1" customWidth="1"/>
    <col min="14" max="22" width="33.5" style="1" customWidth="1"/>
    <col min="23" max="23" width="34.6640625" style="1" customWidth="1"/>
    <col min="24" max="28" width="33.5" style="1" customWidth="1"/>
    <col min="29" max="29" width="36.5" style="1" customWidth="1"/>
    <col min="30" max="31" width="15.5" style="1" customWidth="1"/>
    <col min="32" max="32" width="36.5" style="1" customWidth="1"/>
    <col min="33" max="34" width="15.5" style="1" customWidth="1"/>
    <col min="35" max="16384" width="10.6640625" style="1"/>
  </cols>
  <sheetData>
    <row r="2" spans="1:34" ht="64.150000000000006" customHeight="1" x14ac:dyDescent="1.1499999999999999">
      <c r="A2" s="5"/>
      <c r="B2" s="6"/>
      <c r="C2" s="7"/>
      <c r="D2" s="6"/>
      <c r="E2" s="6"/>
      <c r="F2" s="8"/>
      <c r="G2" s="8"/>
      <c r="H2" s="8"/>
      <c r="I2" s="6"/>
      <c r="J2" s="6"/>
      <c r="K2" s="9"/>
      <c r="L2" s="5"/>
      <c r="M2" s="10"/>
      <c r="N2" s="10"/>
      <c r="O2" s="10"/>
      <c r="P2" s="10"/>
      <c r="Q2" s="10"/>
      <c r="R2" s="10"/>
      <c r="S2" s="10"/>
      <c r="T2" s="10"/>
      <c r="U2" s="10"/>
      <c r="V2" s="5"/>
      <c r="W2" s="5"/>
      <c r="X2" s="5"/>
      <c r="Y2" s="5"/>
      <c r="Z2" s="5"/>
      <c r="AA2" s="176" t="s">
        <v>32</v>
      </c>
      <c r="AB2" s="176"/>
      <c r="AC2" s="176"/>
      <c r="AD2" s="176"/>
      <c r="AE2" s="176"/>
      <c r="AF2" s="176"/>
      <c r="AG2" s="176"/>
      <c r="AH2" s="176"/>
    </row>
    <row r="3" spans="1:34" ht="81.75" x14ac:dyDescent="1.1499999999999999">
      <c r="A3" s="5"/>
      <c r="B3" s="6"/>
      <c r="C3" s="7"/>
      <c r="D3" s="6"/>
      <c r="E3" s="6"/>
      <c r="F3" s="8"/>
      <c r="G3" s="8"/>
      <c r="H3" s="8"/>
      <c r="I3" s="6"/>
      <c r="J3" s="6"/>
      <c r="K3" s="9"/>
      <c r="L3" s="5"/>
      <c r="M3" s="10"/>
      <c r="N3" s="10"/>
      <c r="O3" s="10"/>
      <c r="P3" s="10"/>
      <c r="Q3" s="10"/>
      <c r="R3" s="10"/>
      <c r="S3" s="10"/>
      <c r="T3" s="10"/>
      <c r="U3" s="10"/>
      <c r="V3" s="5"/>
      <c r="W3" s="5"/>
      <c r="X3" s="5"/>
      <c r="Y3" s="5"/>
      <c r="Z3" s="5"/>
      <c r="AA3" s="177" t="s">
        <v>71</v>
      </c>
      <c r="AB3" s="177"/>
      <c r="AC3" s="177"/>
      <c r="AD3" s="177"/>
      <c r="AE3" s="177"/>
      <c r="AF3" s="177"/>
      <c r="AG3" s="177"/>
      <c r="AH3" s="177"/>
    </row>
    <row r="4" spans="1:34" ht="81.75" x14ac:dyDescent="1.1499999999999999">
      <c r="A4" s="5"/>
      <c r="B4" s="6"/>
      <c r="C4" s="7"/>
      <c r="D4" s="6"/>
      <c r="E4" s="6"/>
      <c r="F4" s="8"/>
      <c r="G4" s="8"/>
      <c r="H4" s="8"/>
      <c r="I4" s="6"/>
      <c r="J4" s="6"/>
      <c r="K4" s="9"/>
      <c r="L4" s="5"/>
      <c r="M4" s="10"/>
      <c r="N4" s="10"/>
      <c r="O4" s="10"/>
      <c r="P4" s="10"/>
      <c r="Q4" s="10"/>
      <c r="R4" s="10"/>
      <c r="S4" s="10"/>
      <c r="T4" s="10"/>
      <c r="U4" s="10"/>
      <c r="V4" s="5"/>
      <c r="W4" s="5"/>
      <c r="X4" s="5"/>
      <c r="Y4" s="5"/>
      <c r="Z4" s="5"/>
      <c r="AA4" s="176" t="s">
        <v>72</v>
      </c>
      <c r="AB4" s="176"/>
      <c r="AC4" s="176"/>
      <c r="AD4" s="176"/>
      <c r="AE4" s="176"/>
      <c r="AF4" s="176"/>
      <c r="AG4" s="176"/>
      <c r="AH4" s="176"/>
    </row>
    <row r="5" spans="1:34" ht="81.75" x14ac:dyDescent="1.1499999999999999">
      <c r="A5" s="5"/>
      <c r="B5" s="6"/>
      <c r="C5" s="7"/>
      <c r="D5" s="6"/>
      <c r="E5" s="6"/>
      <c r="F5" s="8"/>
      <c r="G5" s="8"/>
      <c r="H5" s="8"/>
      <c r="I5" s="6"/>
      <c r="J5" s="6"/>
      <c r="K5" s="9"/>
      <c r="L5" s="5"/>
      <c r="M5" s="10"/>
      <c r="N5" s="10"/>
      <c r="O5" s="10"/>
      <c r="P5" s="10"/>
      <c r="Q5" s="10"/>
      <c r="R5" s="10"/>
      <c r="S5" s="10"/>
      <c r="T5" s="10"/>
      <c r="U5" s="10"/>
      <c r="V5" s="5"/>
      <c r="W5" s="5"/>
      <c r="X5" s="5"/>
      <c r="Y5" s="5"/>
      <c r="Z5" s="5"/>
      <c r="AA5" s="176" t="s">
        <v>73</v>
      </c>
      <c r="AB5" s="176"/>
      <c r="AC5" s="176"/>
      <c r="AD5" s="176"/>
      <c r="AE5" s="176"/>
      <c r="AF5" s="176"/>
      <c r="AG5" s="176"/>
      <c r="AH5" s="176"/>
    </row>
    <row r="6" spans="1:34" ht="83.45" customHeight="1" x14ac:dyDescent="0.35">
      <c r="A6" s="5"/>
      <c r="B6" s="6"/>
      <c r="C6" s="7"/>
      <c r="D6" s="6"/>
      <c r="E6" s="6"/>
      <c r="F6" s="8"/>
      <c r="G6" s="8"/>
      <c r="H6" s="8"/>
      <c r="I6" s="6"/>
      <c r="J6" s="6"/>
      <c r="K6" s="9"/>
      <c r="L6" s="5"/>
      <c r="M6" s="10"/>
      <c r="N6" s="10"/>
      <c r="O6" s="10"/>
      <c r="P6" s="10"/>
      <c r="Q6" s="10"/>
      <c r="R6" s="10"/>
      <c r="S6" s="10"/>
      <c r="T6" s="10"/>
      <c r="U6" s="10"/>
      <c r="V6" s="5"/>
      <c r="W6" s="5"/>
      <c r="X6" s="5"/>
      <c r="Y6" s="5"/>
      <c r="Z6" s="5"/>
      <c r="AA6" s="11"/>
      <c r="AB6" s="5"/>
      <c r="AC6" s="10"/>
      <c r="AD6" s="10"/>
      <c r="AE6" s="10"/>
      <c r="AF6" s="10"/>
      <c r="AG6" s="6"/>
      <c r="AH6" s="6"/>
    </row>
    <row r="7" spans="1:34" s="12" customFormat="1" ht="132" customHeight="1" x14ac:dyDescent="0.35">
      <c r="A7" s="178" t="s">
        <v>74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</row>
    <row r="8" spans="1:34" ht="65.45" customHeight="1" x14ac:dyDescent="0.35">
      <c r="A8" s="5"/>
      <c r="B8" s="6"/>
      <c r="C8" s="7"/>
      <c r="D8" s="6"/>
      <c r="E8" s="6"/>
      <c r="F8" s="8"/>
      <c r="G8" s="13"/>
      <c r="H8" s="13"/>
      <c r="I8" s="6"/>
      <c r="J8" s="6"/>
      <c r="K8" s="9"/>
      <c r="L8" s="5"/>
      <c r="M8" s="14"/>
      <c r="N8" s="14"/>
      <c r="O8" s="14"/>
      <c r="P8" s="14"/>
      <c r="Q8" s="14"/>
      <c r="R8" s="14"/>
      <c r="S8" s="14"/>
      <c r="T8" s="14"/>
      <c r="U8" s="14"/>
      <c r="V8" s="15"/>
      <c r="W8" s="15"/>
      <c r="X8" s="15"/>
      <c r="Y8" s="15"/>
      <c r="Z8" s="15"/>
      <c r="AA8" s="16"/>
      <c r="AB8" s="15"/>
      <c r="AC8" s="14"/>
      <c r="AD8" s="14"/>
      <c r="AE8" s="14"/>
      <c r="AF8" s="14"/>
      <c r="AG8" s="6" t="s">
        <v>75</v>
      </c>
      <c r="AH8" s="6" t="s">
        <v>76</v>
      </c>
    </row>
    <row r="9" spans="1:34" s="12" customFormat="1" ht="103.9" customHeight="1" x14ac:dyDescent="0.35">
      <c r="A9" s="160" t="s">
        <v>2</v>
      </c>
      <c r="B9" s="179" t="s">
        <v>58</v>
      </c>
      <c r="C9" s="160" t="s">
        <v>33</v>
      </c>
      <c r="D9" s="179" t="s">
        <v>59</v>
      </c>
      <c r="E9" s="179" t="s">
        <v>60</v>
      </c>
      <c r="F9" s="173" t="s">
        <v>77</v>
      </c>
      <c r="G9" s="169" t="s">
        <v>61</v>
      </c>
      <c r="H9" s="171"/>
      <c r="I9" s="179" t="s">
        <v>62</v>
      </c>
      <c r="J9" s="179" t="s">
        <v>63</v>
      </c>
      <c r="K9" s="179" t="s">
        <v>64</v>
      </c>
      <c r="L9" s="160" t="s">
        <v>44</v>
      </c>
      <c r="M9" s="182" t="s">
        <v>65</v>
      </c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4"/>
      <c r="AC9" s="182" t="s">
        <v>78</v>
      </c>
      <c r="AD9" s="183"/>
      <c r="AE9" s="183"/>
      <c r="AF9" s="184"/>
      <c r="AG9" s="179" t="s">
        <v>66</v>
      </c>
      <c r="AH9" s="179" t="s">
        <v>67</v>
      </c>
    </row>
    <row r="10" spans="1:34" s="12" customFormat="1" ht="35.450000000000003" customHeight="1" x14ac:dyDescent="0.35">
      <c r="A10" s="163"/>
      <c r="B10" s="180"/>
      <c r="C10" s="163"/>
      <c r="D10" s="180"/>
      <c r="E10" s="180"/>
      <c r="F10" s="174"/>
      <c r="G10" s="187" t="s">
        <v>79</v>
      </c>
      <c r="H10" s="187" t="s">
        <v>68</v>
      </c>
      <c r="I10" s="180"/>
      <c r="J10" s="180"/>
      <c r="K10" s="180"/>
      <c r="L10" s="163"/>
      <c r="M10" s="169" t="s">
        <v>80</v>
      </c>
      <c r="N10" s="170"/>
      <c r="O10" s="170"/>
      <c r="P10" s="170"/>
      <c r="Q10" s="170"/>
      <c r="R10" s="170"/>
      <c r="S10" s="170"/>
      <c r="T10" s="170"/>
      <c r="U10" s="171"/>
      <c r="V10" s="161" t="s">
        <v>36</v>
      </c>
      <c r="W10" s="161" t="s">
        <v>37</v>
      </c>
      <c r="X10" s="161" t="s">
        <v>81</v>
      </c>
      <c r="Y10" s="161" t="s">
        <v>82</v>
      </c>
      <c r="Z10" s="161" t="s">
        <v>38</v>
      </c>
      <c r="AA10" s="172" t="s">
        <v>83</v>
      </c>
      <c r="AB10" s="169" t="s">
        <v>84</v>
      </c>
      <c r="AC10" s="161" t="s">
        <v>39</v>
      </c>
      <c r="AD10" s="165" t="s">
        <v>85</v>
      </c>
      <c r="AE10" s="165" t="s">
        <v>86</v>
      </c>
      <c r="AF10" s="161" t="s">
        <v>40</v>
      </c>
      <c r="AG10" s="185"/>
      <c r="AH10" s="180"/>
    </row>
    <row r="11" spans="1:34" s="12" customFormat="1" ht="241.5" customHeight="1" x14ac:dyDescent="0.35">
      <c r="A11" s="164"/>
      <c r="B11" s="181"/>
      <c r="C11" s="164"/>
      <c r="D11" s="181"/>
      <c r="E11" s="181"/>
      <c r="F11" s="175"/>
      <c r="G11" s="187"/>
      <c r="H11" s="187"/>
      <c r="I11" s="181"/>
      <c r="J11" s="181"/>
      <c r="K11" s="181"/>
      <c r="L11" s="164"/>
      <c r="M11" s="21" t="s">
        <v>87</v>
      </c>
      <c r="N11" s="21" t="s">
        <v>88</v>
      </c>
      <c r="O11" s="21" t="s">
        <v>89</v>
      </c>
      <c r="P11" s="21" t="s">
        <v>90</v>
      </c>
      <c r="Q11" s="21" t="s">
        <v>34</v>
      </c>
      <c r="R11" s="21" t="s">
        <v>91</v>
      </c>
      <c r="S11" s="21" t="s">
        <v>35</v>
      </c>
      <c r="T11" s="21" t="s">
        <v>92</v>
      </c>
      <c r="U11" s="21" t="s">
        <v>93</v>
      </c>
      <c r="V11" s="161"/>
      <c r="W11" s="161"/>
      <c r="X11" s="161"/>
      <c r="Y11" s="161"/>
      <c r="Z11" s="161"/>
      <c r="AA11" s="172"/>
      <c r="AB11" s="169"/>
      <c r="AC11" s="161"/>
      <c r="AD11" s="165"/>
      <c r="AE11" s="165"/>
      <c r="AF11" s="161"/>
      <c r="AG11" s="186"/>
      <c r="AH11" s="181"/>
    </row>
    <row r="12" spans="1:34" ht="51" customHeight="1" x14ac:dyDescent="0.3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5">
        <v>6</v>
      </c>
      <c r="G12" s="25">
        <v>7</v>
      </c>
      <c r="H12" s="25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  <c r="N12" s="24">
        <v>14</v>
      </c>
      <c r="O12" s="24">
        <v>15</v>
      </c>
      <c r="P12" s="24">
        <v>16</v>
      </c>
      <c r="Q12" s="24">
        <v>17</v>
      </c>
      <c r="R12" s="24">
        <v>18</v>
      </c>
      <c r="S12" s="24">
        <v>19</v>
      </c>
      <c r="T12" s="24">
        <v>20</v>
      </c>
      <c r="U12" s="24">
        <v>21</v>
      </c>
      <c r="V12" s="24">
        <v>22</v>
      </c>
      <c r="W12" s="24">
        <v>23</v>
      </c>
      <c r="X12" s="24">
        <v>24</v>
      </c>
      <c r="Y12" s="24">
        <v>25</v>
      </c>
      <c r="Z12" s="24">
        <v>26</v>
      </c>
      <c r="AA12" s="24">
        <v>27</v>
      </c>
      <c r="AB12" s="24">
        <v>28</v>
      </c>
      <c r="AC12" s="24">
        <v>29</v>
      </c>
      <c r="AD12" s="24">
        <v>30</v>
      </c>
      <c r="AE12" s="24">
        <v>31</v>
      </c>
      <c r="AF12" s="24">
        <v>32</v>
      </c>
      <c r="AG12" s="24">
        <v>33</v>
      </c>
      <c r="AH12" s="24">
        <v>34</v>
      </c>
    </row>
    <row r="13" spans="1:34" ht="109.9" customHeight="1" x14ac:dyDescent="0.35">
      <c r="A13" s="166" t="s">
        <v>94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8"/>
    </row>
    <row r="14" spans="1:34" ht="109.9" customHeight="1" x14ac:dyDescent="0.35">
      <c r="A14" s="24">
        <v>1</v>
      </c>
      <c r="B14" s="26" t="s">
        <v>69</v>
      </c>
      <c r="C14" s="24" t="s">
        <v>95</v>
      </c>
      <c r="D14" s="24">
        <v>1956</v>
      </c>
      <c r="E14" s="24">
        <v>4</v>
      </c>
      <c r="F14" s="27">
        <v>2373</v>
      </c>
      <c r="G14" s="27">
        <v>2161</v>
      </c>
      <c r="H14" s="27">
        <v>1300.5</v>
      </c>
      <c r="I14" s="24">
        <v>49</v>
      </c>
      <c r="J14" s="24" t="s">
        <v>42</v>
      </c>
      <c r="K14" s="24" t="s">
        <v>96</v>
      </c>
      <c r="L14" s="28"/>
      <c r="M14" s="29">
        <f t="shared" ref="M14:M15" si="0">SUM(N14:U14)</f>
        <v>8101070.3599999994</v>
      </c>
      <c r="N14" s="29">
        <f>ROUND(G14*616.25,2)</f>
        <v>1331716.25</v>
      </c>
      <c r="O14" s="29">
        <f>ROUND(G14*871.5,2)</f>
        <v>1883311.5</v>
      </c>
      <c r="P14" s="29"/>
      <c r="Q14" s="29">
        <f t="shared" ref="Q14:Q15" si="1">ROUND(G14*596.38,2)</f>
        <v>1288777.18</v>
      </c>
      <c r="R14" s="29">
        <f t="shared" ref="R14:R15" si="2">ROUND(G14*589.88,2)</f>
        <v>1274730.68</v>
      </c>
      <c r="S14" s="29"/>
      <c r="T14" s="29">
        <f t="shared" ref="T14:T15" si="3">ROUND(G14*1074.75,2)</f>
        <v>2322534.75</v>
      </c>
      <c r="U14" s="28"/>
      <c r="V14" s="28"/>
      <c r="W14" s="28"/>
      <c r="X14" s="28"/>
      <c r="Y14" s="28"/>
      <c r="Z14" s="28"/>
      <c r="AA14" s="29">
        <v>967328.4</v>
      </c>
      <c r="AB14" s="29">
        <f t="shared" ref="AB14:AB42" si="4">ROUND((M14+V14+W14+X14+Y14+Z14)*0.015,2)</f>
        <v>121516.06</v>
      </c>
      <c r="AC14" s="29">
        <f>SUM(N14:AB14)</f>
        <v>9189914.8200000003</v>
      </c>
      <c r="AD14" s="29"/>
      <c r="AE14" s="28"/>
      <c r="AF14" s="29">
        <f t="shared" ref="AF14:AF42" si="5">AC14-(AD14+AE14)</f>
        <v>9189914.8200000003</v>
      </c>
      <c r="AG14" s="24">
        <v>2023</v>
      </c>
      <c r="AH14" s="24">
        <v>2023</v>
      </c>
    </row>
    <row r="15" spans="1:34" ht="109.9" customHeight="1" x14ac:dyDescent="0.35">
      <c r="A15" s="24">
        <v>2</v>
      </c>
      <c r="B15" s="26" t="s">
        <v>69</v>
      </c>
      <c r="C15" s="24" t="s">
        <v>97</v>
      </c>
      <c r="D15" s="24">
        <v>1956</v>
      </c>
      <c r="E15" s="24">
        <v>4</v>
      </c>
      <c r="F15" s="27">
        <v>3956.3</v>
      </c>
      <c r="G15" s="27">
        <v>1904.5</v>
      </c>
      <c r="H15" s="27">
        <v>1338.5</v>
      </c>
      <c r="I15" s="24" t="s">
        <v>41</v>
      </c>
      <c r="J15" s="24" t="s">
        <v>42</v>
      </c>
      <c r="K15" s="24" t="s">
        <v>96</v>
      </c>
      <c r="L15" s="28"/>
      <c r="M15" s="29">
        <f t="shared" si="0"/>
        <v>14731612.23</v>
      </c>
      <c r="N15" s="29">
        <f t="shared" ref="N15" si="6">ROUND(G15*616.25,2)</f>
        <v>1173648.1299999999</v>
      </c>
      <c r="O15" s="29">
        <f t="shared" ref="O15" si="7">ROUND(G15*4857.9,2)</f>
        <v>9251870.5500000007</v>
      </c>
      <c r="P15" s="29"/>
      <c r="Q15" s="29">
        <f t="shared" si="1"/>
        <v>1135805.71</v>
      </c>
      <c r="R15" s="29">
        <f t="shared" si="2"/>
        <v>1123426.46</v>
      </c>
      <c r="S15" s="29"/>
      <c r="T15" s="29">
        <f t="shared" si="3"/>
        <v>2046861.38</v>
      </c>
      <c r="U15" s="28"/>
      <c r="V15" s="28"/>
      <c r="W15" s="28"/>
      <c r="X15" s="28"/>
      <c r="Y15" s="28"/>
      <c r="Z15" s="28"/>
      <c r="AA15" s="29">
        <v>938412</v>
      </c>
      <c r="AB15" s="29">
        <f t="shared" si="4"/>
        <v>220974.18</v>
      </c>
      <c r="AC15" s="29">
        <f t="shared" ref="AC15:AC42" si="8">SUM(N15:AB15)</f>
        <v>15890998.41</v>
      </c>
      <c r="AD15" s="29"/>
      <c r="AE15" s="28"/>
      <c r="AF15" s="29">
        <f t="shared" si="5"/>
        <v>15890998.41</v>
      </c>
      <c r="AG15" s="24">
        <v>2023</v>
      </c>
      <c r="AH15" s="24">
        <v>2023</v>
      </c>
    </row>
    <row r="16" spans="1:34" ht="109.9" customHeight="1" x14ac:dyDescent="0.35">
      <c r="A16" s="24">
        <v>3</v>
      </c>
      <c r="B16" s="26" t="s">
        <v>69</v>
      </c>
      <c r="C16" s="24" t="s">
        <v>98</v>
      </c>
      <c r="D16" s="24">
        <v>1961</v>
      </c>
      <c r="E16" s="24">
        <v>4</v>
      </c>
      <c r="F16" s="27">
        <v>1472.4</v>
      </c>
      <c r="G16" s="27">
        <f>1238.3+126</f>
        <v>1364.3</v>
      </c>
      <c r="H16" s="27">
        <v>1238.3</v>
      </c>
      <c r="I16" s="24" t="s">
        <v>41</v>
      </c>
      <c r="J16" s="24" t="s">
        <v>42</v>
      </c>
      <c r="K16" s="24" t="s">
        <v>96</v>
      </c>
      <c r="L16" s="28"/>
      <c r="M16" s="29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>
        <f>ROUND(G16*1954.25,2)</f>
        <v>2666183.2799999998</v>
      </c>
      <c r="Y16" s="29">
        <f>ROUND(G16*3842.27,2)</f>
        <v>5242008.96</v>
      </c>
      <c r="Z16" s="29">
        <f>ROUND(G16*1135.41,2)</f>
        <v>1549039.86</v>
      </c>
      <c r="AA16" s="29">
        <v>926400</v>
      </c>
      <c r="AB16" s="29">
        <f t="shared" si="4"/>
        <v>141858.48000000001</v>
      </c>
      <c r="AC16" s="29">
        <f t="shared" si="8"/>
        <v>10525490.58</v>
      </c>
      <c r="AD16" s="28"/>
      <c r="AE16" s="28"/>
      <c r="AF16" s="29">
        <f t="shared" si="5"/>
        <v>10525490.58</v>
      </c>
      <c r="AG16" s="24">
        <v>2023</v>
      </c>
      <c r="AH16" s="24">
        <v>2023</v>
      </c>
    </row>
    <row r="17" spans="1:34" ht="109.9" customHeight="1" x14ac:dyDescent="0.35">
      <c r="A17" s="24">
        <v>4</v>
      </c>
      <c r="B17" s="26" t="s">
        <v>69</v>
      </c>
      <c r="C17" s="24" t="s">
        <v>99</v>
      </c>
      <c r="D17" s="24">
        <v>1966</v>
      </c>
      <c r="E17" s="24">
        <v>5</v>
      </c>
      <c r="F17" s="27">
        <v>1726.4</v>
      </c>
      <c r="G17" s="27">
        <v>1604.8</v>
      </c>
      <c r="H17" s="27">
        <v>1604.8</v>
      </c>
      <c r="I17" s="24">
        <v>121</v>
      </c>
      <c r="J17" s="24" t="s">
        <v>42</v>
      </c>
      <c r="K17" s="24" t="s">
        <v>96</v>
      </c>
      <c r="L17" s="28"/>
      <c r="M17" s="29">
        <f>SUM(N17:U17)</f>
        <v>10517409.859999999</v>
      </c>
      <c r="N17" s="29">
        <f>ROUND(G17*616.25,2)</f>
        <v>988958</v>
      </c>
      <c r="O17" s="29">
        <f>ROUND(G17*3990.81,2)</f>
        <v>6404451.8899999997</v>
      </c>
      <c r="P17" s="28"/>
      <c r="Q17" s="29">
        <f>ROUND(G17*620.83,2)</f>
        <v>996307.98</v>
      </c>
      <c r="R17" s="29">
        <f>ROUND(G17*660.21,2)</f>
        <v>1059505.01</v>
      </c>
      <c r="S17" s="28"/>
      <c r="T17" s="29">
        <f>ROUND(G17*665.62,2)</f>
        <v>1068186.98</v>
      </c>
      <c r="U17" s="28"/>
      <c r="V17" s="28"/>
      <c r="W17" s="29">
        <f>ROUND(G17*3617.12,2)</f>
        <v>5804754.1799999997</v>
      </c>
      <c r="X17" s="28"/>
      <c r="Y17" s="28"/>
      <c r="Z17" s="28"/>
      <c r="AA17" s="29">
        <f>1267905.6+642813.6</f>
        <v>1910719.2000000002</v>
      </c>
      <c r="AB17" s="29">
        <f t="shared" si="4"/>
        <v>244832.46</v>
      </c>
      <c r="AC17" s="29">
        <f t="shared" si="8"/>
        <v>18477715.699999999</v>
      </c>
      <c r="AD17" s="29"/>
      <c r="AE17" s="28"/>
      <c r="AF17" s="29">
        <f t="shared" si="5"/>
        <v>18477715.699999999</v>
      </c>
      <c r="AG17" s="24">
        <v>2023</v>
      </c>
      <c r="AH17" s="24">
        <v>2023</v>
      </c>
    </row>
    <row r="18" spans="1:34" ht="109.9" customHeight="1" x14ac:dyDescent="0.35">
      <c r="A18" s="24">
        <v>5</v>
      </c>
      <c r="B18" s="26" t="s">
        <v>69</v>
      </c>
      <c r="C18" s="24" t="s">
        <v>100</v>
      </c>
      <c r="D18" s="24">
        <v>1980</v>
      </c>
      <c r="E18" s="24">
        <v>5</v>
      </c>
      <c r="F18" s="27">
        <v>4820</v>
      </c>
      <c r="G18" s="27">
        <v>4395.8</v>
      </c>
      <c r="H18" s="27">
        <v>4379</v>
      </c>
      <c r="I18" s="24">
        <v>210</v>
      </c>
      <c r="J18" s="24" t="s">
        <v>42</v>
      </c>
      <c r="K18" s="24" t="s">
        <v>96</v>
      </c>
      <c r="L18" s="28"/>
      <c r="M18" s="29"/>
      <c r="N18" s="29"/>
      <c r="O18" s="29"/>
      <c r="P18" s="29"/>
      <c r="Q18" s="29"/>
      <c r="R18" s="29"/>
      <c r="S18" s="28"/>
      <c r="T18" s="29"/>
      <c r="U18" s="28"/>
      <c r="V18" s="28"/>
      <c r="W18" s="28"/>
      <c r="X18" s="28"/>
      <c r="Y18" s="29">
        <f>ROUND(G18*3170.13,2)</f>
        <v>13935257.449999999</v>
      </c>
      <c r="Z18" s="28"/>
      <c r="AA18" s="29">
        <v>905223.6</v>
      </c>
      <c r="AB18" s="29">
        <f>ROUND((M18+V18+W18+X18+Y18+Z18)*0.015,2)</f>
        <v>209028.86</v>
      </c>
      <c r="AC18" s="29">
        <f>SUM(N18:AB18)</f>
        <v>15049509.909999998</v>
      </c>
      <c r="AD18" s="28"/>
      <c r="AE18" s="28"/>
      <c r="AF18" s="29">
        <f>AC18-(AD18+AE18)</f>
        <v>15049509.909999998</v>
      </c>
      <c r="AG18" s="24">
        <v>2023</v>
      </c>
      <c r="AH18" s="24">
        <v>2023</v>
      </c>
    </row>
    <row r="19" spans="1:34" ht="109.9" customHeight="1" x14ac:dyDescent="0.35">
      <c r="A19" s="24">
        <v>6</v>
      </c>
      <c r="B19" s="26" t="s">
        <v>69</v>
      </c>
      <c r="C19" s="24" t="s">
        <v>101</v>
      </c>
      <c r="D19" s="24">
        <v>1956</v>
      </c>
      <c r="E19" s="24">
        <v>5</v>
      </c>
      <c r="F19" s="27">
        <v>4682.1000000000004</v>
      </c>
      <c r="G19" s="27">
        <v>4300.8999999999996</v>
      </c>
      <c r="H19" s="27">
        <v>3551</v>
      </c>
      <c r="I19" s="24">
        <v>87</v>
      </c>
      <c r="J19" s="24" t="s">
        <v>42</v>
      </c>
      <c r="K19" s="24" t="s">
        <v>96</v>
      </c>
      <c r="L19" s="28"/>
      <c r="M19" s="29">
        <f t="shared" ref="M19:M20" si="9">SUM(N19:U19)</f>
        <v>24793140.190000001</v>
      </c>
      <c r="N19" s="29">
        <f t="shared" ref="N19:N20" si="10">ROUND(G19*616.25,2)</f>
        <v>2650429.63</v>
      </c>
      <c r="O19" s="29">
        <f>ROUND(G19*3201.73,2)</f>
        <v>13770320.560000001</v>
      </c>
      <c r="P19" s="29"/>
      <c r="Q19" s="29">
        <f>ROUND(G19*620.83,2)</f>
        <v>2670127.75</v>
      </c>
      <c r="R19" s="29">
        <f>ROUND(G19*660.21,2)</f>
        <v>2839497.19</v>
      </c>
      <c r="S19" s="29"/>
      <c r="T19" s="29">
        <f>ROUND(G19*665.62,2)</f>
        <v>2862765.06</v>
      </c>
      <c r="U19" s="28"/>
      <c r="V19" s="28"/>
      <c r="W19" s="28"/>
      <c r="X19" s="28"/>
      <c r="Y19" s="28"/>
      <c r="Z19" s="28"/>
      <c r="AA19" s="29">
        <v>1306719.6000000001</v>
      </c>
      <c r="AB19" s="29">
        <f t="shared" ref="AB19:AB20" si="11">ROUND((M19+V19+W19+X19+Y19+Z19)*0.015,2)</f>
        <v>371897.1</v>
      </c>
      <c r="AC19" s="29">
        <f t="shared" ref="AC19:AC20" si="12">SUM(N19:AB19)</f>
        <v>26471756.890000004</v>
      </c>
      <c r="AD19" s="29"/>
      <c r="AE19" s="28"/>
      <c r="AF19" s="29">
        <f t="shared" ref="AF19:AF20" si="13">AC19-(AD19+AE19)</f>
        <v>26471756.890000004</v>
      </c>
      <c r="AG19" s="24">
        <v>2023</v>
      </c>
      <c r="AH19" s="24">
        <v>2023</v>
      </c>
    </row>
    <row r="20" spans="1:34" ht="109.9" customHeight="1" x14ac:dyDescent="0.35">
      <c r="A20" s="24">
        <v>7</v>
      </c>
      <c r="B20" s="26" t="s">
        <v>69</v>
      </c>
      <c r="C20" s="24" t="s">
        <v>102</v>
      </c>
      <c r="D20" s="24">
        <v>1956</v>
      </c>
      <c r="E20" s="24">
        <v>4</v>
      </c>
      <c r="F20" s="27">
        <v>3658.8</v>
      </c>
      <c r="G20" s="27">
        <v>3312.7</v>
      </c>
      <c r="H20" s="27">
        <v>2449.6</v>
      </c>
      <c r="I20" s="24">
        <v>73</v>
      </c>
      <c r="J20" s="24" t="s">
        <v>42</v>
      </c>
      <c r="K20" s="24" t="s">
        <v>96</v>
      </c>
      <c r="L20" s="28"/>
      <c r="M20" s="29">
        <f t="shared" si="9"/>
        <v>17422184.969999999</v>
      </c>
      <c r="N20" s="29">
        <f t="shared" si="10"/>
        <v>2041451.38</v>
      </c>
      <c r="O20" s="29">
        <f>ROUND(G20*3349.66,2)</f>
        <v>11096418.68</v>
      </c>
      <c r="P20" s="29"/>
      <c r="Q20" s="29">
        <f>ROUND(G20*650.2,2)</f>
        <v>2153917.54</v>
      </c>
      <c r="R20" s="28"/>
      <c r="S20" s="28"/>
      <c r="T20" s="29">
        <f>ROUND(G20*643.1,2)</f>
        <v>2130397.37</v>
      </c>
      <c r="U20" s="28"/>
      <c r="V20" s="28"/>
      <c r="W20" s="28"/>
      <c r="X20" s="28"/>
      <c r="Y20" s="28"/>
      <c r="Z20" s="28"/>
      <c r="AA20" s="29">
        <v>1053721.2</v>
      </c>
      <c r="AB20" s="29">
        <f t="shared" si="11"/>
        <v>261332.77</v>
      </c>
      <c r="AC20" s="29">
        <f t="shared" si="12"/>
        <v>18737238.939999998</v>
      </c>
      <c r="AD20" s="29"/>
      <c r="AE20" s="28"/>
      <c r="AF20" s="29">
        <f t="shared" si="13"/>
        <v>18737238.939999998</v>
      </c>
      <c r="AG20" s="24">
        <v>2023</v>
      </c>
      <c r="AH20" s="24">
        <v>2023</v>
      </c>
    </row>
    <row r="21" spans="1:34" ht="109.9" customHeight="1" x14ac:dyDescent="0.35">
      <c r="A21" s="24">
        <v>8</v>
      </c>
      <c r="B21" s="26" t="s">
        <v>69</v>
      </c>
      <c r="C21" s="24" t="s">
        <v>103</v>
      </c>
      <c r="D21" s="24">
        <v>1973</v>
      </c>
      <c r="E21" s="24">
        <v>5</v>
      </c>
      <c r="F21" s="27">
        <v>4808.2</v>
      </c>
      <c r="G21" s="27">
        <f>4304.4+89.1</f>
        <v>4393.5</v>
      </c>
      <c r="H21" s="27">
        <v>4304.3999999999996</v>
      </c>
      <c r="I21" s="24">
        <v>212</v>
      </c>
      <c r="J21" s="24" t="s">
        <v>42</v>
      </c>
      <c r="K21" s="24" t="s">
        <v>96</v>
      </c>
      <c r="L21" s="28"/>
      <c r="M21" s="29"/>
      <c r="N21" s="28"/>
      <c r="O21" s="28"/>
      <c r="P21" s="28"/>
      <c r="Q21" s="28"/>
      <c r="R21" s="28"/>
      <c r="S21" s="28"/>
      <c r="T21" s="28"/>
      <c r="U21" s="28"/>
      <c r="V21" s="28"/>
      <c r="W21" s="29">
        <f>ROUND(G21*3517.3,2)</f>
        <v>15453257.550000001</v>
      </c>
      <c r="X21" s="28"/>
      <c r="Y21" s="28"/>
      <c r="Z21" s="28"/>
      <c r="AA21" s="29">
        <v>759255.6</v>
      </c>
      <c r="AB21" s="29">
        <f t="shared" si="4"/>
        <v>231798.86</v>
      </c>
      <c r="AC21" s="29">
        <f t="shared" si="8"/>
        <v>16444312.01</v>
      </c>
      <c r="AD21" s="28"/>
      <c r="AE21" s="28"/>
      <c r="AF21" s="29">
        <f t="shared" si="5"/>
        <v>16444312.01</v>
      </c>
      <c r="AG21" s="24">
        <v>2023</v>
      </c>
      <c r="AH21" s="24">
        <v>2023</v>
      </c>
    </row>
    <row r="22" spans="1:34" ht="109.9" customHeight="1" x14ac:dyDescent="0.35">
      <c r="A22" s="24">
        <v>9</v>
      </c>
      <c r="B22" s="26" t="s">
        <v>69</v>
      </c>
      <c r="C22" s="24" t="s">
        <v>104</v>
      </c>
      <c r="D22" s="24">
        <v>1955</v>
      </c>
      <c r="E22" s="24">
        <v>4</v>
      </c>
      <c r="F22" s="27">
        <v>2494.5</v>
      </c>
      <c r="G22" s="27">
        <f>1856+447.4</f>
        <v>2303.4</v>
      </c>
      <c r="H22" s="27">
        <v>1856.8</v>
      </c>
      <c r="I22" s="24">
        <v>54</v>
      </c>
      <c r="J22" s="24" t="s">
        <v>42</v>
      </c>
      <c r="K22" s="24" t="s">
        <v>96</v>
      </c>
      <c r="L22" s="28"/>
      <c r="M22" s="29">
        <f t="shared" ref="M22:M25" si="14">SUM(N22:U22)</f>
        <v>8634893.7799999993</v>
      </c>
      <c r="N22" s="29">
        <f>ROUND(G22*616.25,2)</f>
        <v>1419470.25</v>
      </c>
      <c r="O22" s="29">
        <f>ROUND(G22*871.5,2)</f>
        <v>2007413.1</v>
      </c>
      <c r="P22" s="29"/>
      <c r="Q22" s="29">
        <f t="shared" ref="Q22:Q25" si="15">ROUND(G22*596.38,2)</f>
        <v>1373701.69</v>
      </c>
      <c r="R22" s="29">
        <f t="shared" ref="R22:R25" si="16">ROUND(G22*589.88,2)</f>
        <v>1358729.59</v>
      </c>
      <c r="S22" s="29"/>
      <c r="T22" s="29">
        <f t="shared" ref="T22:T25" si="17">ROUND(G22*1074.75,2)</f>
        <v>2475579.15</v>
      </c>
      <c r="U22" s="28"/>
      <c r="V22" s="28"/>
      <c r="W22" s="28"/>
      <c r="X22" s="29">
        <f t="shared" ref="X22" si="18">ROUND(G22*1954.25,2)</f>
        <v>4501419.45</v>
      </c>
      <c r="Y22" s="29"/>
      <c r="Z22" s="29">
        <f t="shared" ref="Z22" si="19">ROUND(G22*1135.41,2)</f>
        <v>2615303.39</v>
      </c>
      <c r="AA22" s="29">
        <v>1362853.2</v>
      </c>
      <c r="AB22" s="29">
        <f t="shared" si="4"/>
        <v>236274.25</v>
      </c>
      <c r="AC22" s="29">
        <f t="shared" si="8"/>
        <v>17350744.07</v>
      </c>
      <c r="AD22" s="28"/>
      <c r="AE22" s="28"/>
      <c r="AF22" s="29">
        <f t="shared" si="5"/>
        <v>17350744.07</v>
      </c>
      <c r="AG22" s="24">
        <v>2023</v>
      </c>
      <c r="AH22" s="24">
        <v>2023</v>
      </c>
    </row>
    <row r="23" spans="1:34" ht="109.9" customHeight="1" x14ac:dyDescent="0.35">
      <c r="A23" s="24">
        <v>10</v>
      </c>
      <c r="B23" s="26" t="s">
        <v>69</v>
      </c>
      <c r="C23" s="24" t="s">
        <v>105</v>
      </c>
      <c r="D23" s="24">
        <v>1956</v>
      </c>
      <c r="E23" s="24">
        <v>4</v>
      </c>
      <c r="F23" s="27">
        <v>3007.6</v>
      </c>
      <c r="G23" s="27">
        <v>2733.9</v>
      </c>
      <c r="H23" s="27">
        <v>1089.0999999999999</v>
      </c>
      <c r="I23" s="24">
        <v>65</v>
      </c>
      <c r="J23" s="24" t="s">
        <v>42</v>
      </c>
      <c r="K23" s="24" t="s">
        <v>96</v>
      </c>
      <c r="L23" s="28"/>
      <c r="M23" s="29">
        <f>SUM(N23:U23)</f>
        <v>10248734.969999999</v>
      </c>
      <c r="N23" s="29">
        <f t="shared" ref="N23" si="20">ROUND(G23*616.25,2)</f>
        <v>1684765.88</v>
      </c>
      <c r="O23" s="29">
        <f>ROUND(G23*871.5,2)</f>
        <v>2382593.85</v>
      </c>
      <c r="P23" s="29"/>
      <c r="Q23" s="29">
        <f t="shared" si="15"/>
        <v>1630443.28</v>
      </c>
      <c r="R23" s="29">
        <f t="shared" si="16"/>
        <v>1612672.93</v>
      </c>
      <c r="S23" s="29"/>
      <c r="T23" s="29">
        <f t="shared" si="17"/>
        <v>2938259.03</v>
      </c>
      <c r="U23" s="28"/>
      <c r="V23" s="28"/>
      <c r="W23" s="28"/>
      <c r="X23" s="28"/>
      <c r="Y23" s="28"/>
      <c r="Z23" s="28"/>
      <c r="AA23" s="29">
        <v>1026529.2</v>
      </c>
      <c r="AB23" s="29">
        <f>ROUND((M23+V23+W23+X23+Y23+Z23)*0.015,2)</f>
        <v>153731.01999999999</v>
      </c>
      <c r="AC23" s="29">
        <f>SUM(N23:AB23)</f>
        <v>11428995.189999998</v>
      </c>
      <c r="AD23" s="28"/>
      <c r="AE23" s="28"/>
      <c r="AF23" s="29">
        <f>AC23-(AD23+AE23)</f>
        <v>11428995.189999998</v>
      </c>
      <c r="AG23" s="24">
        <v>2023</v>
      </c>
      <c r="AH23" s="24">
        <v>2023</v>
      </c>
    </row>
    <row r="24" spans="1:34" ht="109.9" customHeight="1" x14ac:dyDescent="0.35">
      <c r="A24" s="24">
        <v>11</v>
      </c>
      <c r="B24" s="26" t="s">
        <v>69</v>
      </c>
      <c r="C24" s="24" t="s">
        <v>106</v>
      </c>
      <c r="D24" s="24">
        <v>1957</v>
      </c>
      <c r="E24" s="24">
        <v>4</v>
      </c>
      <c r="F24" s="27">
        <v>2645.9</v>
      </c>
      <c r="G24" s="27">
        <v>2608.3000000000002</v>
      </c>
      <c r="H24" s="27">
        <v>1121.0999999999999</v>
      </c>
      <c r="I24" s="24" t="s">
        <v>41</v>
      </c>
      <c r="J24" s="24" t="s">
        <v>42</v>
      </c>
      <c r="K24" s="24" t="s">
        <v>96</v>
      </c>
      <c r="L24" s="28"/>
      <c r="M24" s="29"/>
      <c r="N24" s="29"/>
      <c r="O24" s="29"/>
      <c r="P24" s="29"/>
      <c r="Q24" s="29"/>
      <c r="R24" s="29"/>
      <c r="S24" s="29"/>
      <c r="T24" s="29"/>
      <c r="U24" s="28"/>
      <c r="V24" s="28"/>
      <c r="W24" s="29">
        <f>ROUND(G24*5975.33,2)</f>
        <v>15585453.24</v>
      </c>
      <c r="X24" s="28"/>
      <c r="Y24" s="28"/>
      <c r="Z24" s="28"/>
      <c r="AA24" s="22">
        <v>1144066.8</v>
      </c>
      <c r="AB24" s="29">
        <f>ROUND((M24+V24+W24+X24+Y24+Z24)*0.015,2)</f>
        <v>233781.8</v>
      </c>
      <c r="AC24" s="29">
        <f>SUM(N24:AB24)</f>
        <v>16963301.84</v>
      </c>
      <c r="AD24" s="28"/>
      <c r="AE24" s="28"/>
      <c r="AF24" s="29">
        <f>AC24</f>
        <v>16963301.84</v>
      </c>
      <c r="AG24" s="24">
        <v>2023</v>
      </c>
      <c r="AH24" s="24">
        <v>2023</v>
      </c>
    </row>
    <row r="25" spans="1:34" s="12" customFormat="1" ht="109.9" customHeight="1" x14ac:dyDescent="0.35">
      <c r="A25" s="24">
        <v>12</v>
      </c>
      <c r="B25" s="23" t="s">
        <v>69</v>
      </c>
      <c r="C25" s="21" t="s">
        <v>107</v>
      </c>
      <c r="D25" s="21">
        <v>1952</v>
      </c>
      <c r="E25" s="21">
        <v>4</v>
      </c>
      <c r="F25" s="19">
        <v>1204.9000000000001</v>
      </c>
      <c r="G25" s="19">
        <v>1070</v>
      </c>
      <c r="H25" s="19">
        <v>788.9</v>
      </c>
      <c r="I25" s="21" t="s">
        <v>41</v>
      </c>
      <c r="J25" s="21" t="s">
        <v>43</v>
      </c>
      <c r="K25" s="21" t="s">
        <v>96</v>
      </c>
      <c r="L25" s="30"/>
      <c r="M25" s="22">
        <f t="shared" si="14"/>
        <v>8276621.1999999993</v>
      </c>
      <c r="N25" s="22">
        <f>ROUND(G25*616.25,2)</f>
        <v>659387.5</v>
      </c>
      <c r="O25" s="22">
        <f>ROUND(G25*4857.9,2)</f>
        <v>5197953</v>
      </c>
      <c r="P25" s="22"/>
      <c r="Q25" s="22">
        <f t="shared" si="15"/>
        <v>638126.6</v>
      </c>
      <c r="R25" s="22">
        <f t="shared" si="16"/>
        <v>631171.6</v>
      </c>
      <c r="S25" s="30"/>
      <c r="T25" s="22">
        <f t="shared" si="17"/>
        <v>1149982.5</v>
      </c>
      <c r="U25" s="22"/>
      <c r="V25" s="30"/>
      <c r="W25" s="30"/>
      <c r="X25" s="30"/>
      <c r="Y25" s="30"/>
      <c r="Z25" s="30"/>
      <c r="AA25" s="22">
        <v>868537.2</v>
      </c>
      <c r="AB25" s="22">
        <f t="shared" si="4"/>
        <v>124149.32</v>
      </c>
      <c r="AC25" s="22">
        <f t="shared" si="8"/>
        <v>9269307.7199999988</v>
      </c>
      <c r="AD25" s="30"/>
      <c r="AE25" s="30"/>
      <c r="AF25" s="22">
        <f t="shared" si="5"/>
        <v>9269307.7199999988</v>
      </c>
      <c r="AG25" s="24">
        <v>2023</v>
      </c>
      <c r="AH25" s="21">
        <v>2023</v>
      </c>
    </row>
    <row r="26" spans="1:34" ht="109.9" customHeight="1" x14ac:dyDescent="0.35">
      <c r="A26" s="24">
        <v>13</v>
      </c>
      <c r="B26" s="26" t="s">
        <v>69</v>
      </c>
      <c r="C26" s="24" t="s">
        <v>108</v>
      </c>
      <c r="D26" s="24">
        <v>1950</v>
      </c>
      <c r="E26" s="24">
        <v>6</v>
      </c>
      <c r="F26" s="27">
        <v>10110</v>
      </c>
      <c r="G26" s="27">
        <f>6512.7+2588.9</f>
        <v>9101.6</v>
      </c>
      <c r="H26" s="27">
        <v>6521.7</v>
      </c>
      <c r="I26" s="24">
        <v>179</v>
      </c>
      <c r="J26" s="24" t="s">
        <v>42</v>
      </c>
      <c r="K26" s="24" t="s">
        <v>96</v>
      </c>
      <c r="L26" s="28" t="s">
        <v>44</v>
      </c>
      <c r="M26" s="29">
        <f>SUM(N26:U26)</f>
        <v>3077341.98</v>
      </c>
      <c r="N26" s="29"/>
      <c r="O26" s="29"/>
      <c r="P26" s="29"/>
      <c r="Q26" s="28"/>
      <c r="R26" s="28"/>
      <c r="S26" s="28"/>
      <c r="T26" s="28"/>
      <c r="U26" s="29">
        <f>ROUND(G26*338.11,2)</f>
        <v>3077341.98</v>
      </c>
      <c r="V26" s="28"/>
      <c r="W26" s="28"/>
      <c r="X26" s="29">
        <f>ROUND(G26*706.71,2)</f>
        <v>6432191.7400000002</v>
      </c>
      <c r="Y26" s="29"/>
      <c r="Z26" s="29">
        <f>ROUND(G26*1135.41,2)</f>
        <v>10334047.66</v>
      </c>
      <c r="AA26" s="29">
        <v>2843278.8</v>
      </c>
      <c r="AB26" s="29">
        <f t="shared" si="4"/>
        <v>297653.71999999997</v>
      </c>
      <c r="AC26" s="29">
        <f t="shared" si="8"/>
        <v>22984513.900000002</v>
      </c>
      <c r="AD26" s="28"/>
      <c r="AE26" s="28"/>
      <c r="AF26" s="29">
        <f t="shared" si="5"/>
        <v>22984513.900000002</v>
      </c>
      <c r="AG26" s="24">
        <v>2023</v>
      </c>
      <c r="AH26" s="24">
        <v>2023</v>
      </c>
    </row>
    <row r="27" spans="1:34" ht="109.9" customHeight="1" x14ac:dyDescent="0.35">
      <c r="A27" s="24">
        <v>14</v>
      </c>
      <c r="B27" s="26" t="s">
        <v>69</v>
      </c>
      <c r="C27" s="24" t="s">
        <v>109</v>
      </c>
      <c r="D27" s="24">
        <v>1950</v>
      </c>
      <c r="E27" s="24">
        <v>5</v>
      </c>
      <c r="F27" s="27">
        <v>3120.3</v>
      </c>
      <c r="G27" s="27">
        <v>2795</v>
      </c>
      <c r="H27" s="27">
        <v>1139.5999999999999</v>
      </c>
      <c r="I27" s="24">
        <v>68</v>
      </c>
      <c r="J27" s="24" t="s">
        <v>42</v>
      </c>
      <c r="K27" s="24" t="s">
        <v>96</v>
      </c>
      <c r="L27" s="28"/>
      <c r="M27" s="29">
        <f>SUM(N27:U27)</f>
        <v>945017.45</v>
      </c>
      <c r="N27" s="28"/>
      <c r="O27" s="28"/>
      <c r="P27" s="28"/>
      <c r="Q27" s="28"/>
      <c r="R27" s="28"/>
      <c r="S27" s="28"/>
      <c r="T27" s="28"/>
      <c r="U27" s="29">
        <f t="shared" ref="U27" si="21">ROUND(G27*338.11,2)</f>
        <v>945017.45</v>
      </c>
      <c r="V27" s="28"/>
      <c r="W27" s="28"/>
      <c r="X27" s="28"/>
      <c r="Y27" s="28"/>
      <c r="Z27" s="28"/>
      <c r="AA27" s="29">
        <v>653260.80000000005</v>
      </c>
      <c r="AB27" s="29">
        <f t="shared" si="4"/>
        <v>14175.26</v>
      </c>
      <c r="AC27" s="29">
        <f t="shared" si="8"/>
        <v>1612453.51</v>
      </c>
      <c r="AD27" s="28"/>
      <c r="AE27" s="28"/>
      <c r="AF27" s="29">
        <f t="shared" si="5"/>
        <v>1612453.51</v>
      </c>
      <c r="AG27" s="24">
        <v>2023</v>
      </c>
      <c r="AH27" s="24">
        <v>2023</v>
      </c>
    </row>
    <row r="28" spans="1:34" ht="109.9" customHeight="1" x14ac:dyDescent="0.35">
      <c r="A28" s="24">
        <v>15</v>
      </c>
      <c r="B28" s="26" t="s">
        <v>69</v>
      </c>
      <c r="C28" s="24" t="s">
        <v>110</v>
      </c>
      <c r="D28" s="24">
        <v>1951</v>
      </c>
      <c r="E28" s="24">
        <v>6</v>
      </c>
      <c r="F28" s="27">
        <v>10467.6</v>
      </c>
      <c r="G28" s="27">
        <f>6584+2807.4</f>
        <v>9391.4</v>
      </c>
      <c r="H28" s="27">
        <v>6584</v>
      </c>
      <c r="I28" s="24">
        <v>167</v>
      </c>
      <c r="J28" s="24" t="s">
        <v>42</v>
      </c>
      <c r="K28" s="24" t="s">
        <v>96</v>
      </c>
      <c r="L28" s="28" t="s">
        <v>44</v>
      </c>
      <c r="M28" s="29">
        <f>SUM(N28:U28)</f>
        <v>35856177.370000005</v>
      </c>
      <c r="N28" s="29">
        <f>ROUND(G28*616.25,2)</f>
        <v>5787450.25</v>
      </c>
      <c r="O28" s="29">
        <f>ROUND(G28*3201.73,2)</f>
        <v>30068727.120000001</v>
      </c>
      <c r="P28" s="29"/>
      <c r="Q28" s="29"/>
      <c r="R28" s="29"/>
      <c r="S28" s="28"/>
      <c r="T28" s="29"/>
      <c r="U28" s="28"/>
      <c r="V28" s="28"/>
      <c r="W28" s="28"/>
      <c r="X28" s="29"/>
      <c r="Y28" s="28"/>
      <c r="Z28" s="28">
        <v>10663089.470000001</v>
      </c>
      <c r="AA28" s="29">
        <v>2369395.2000000002</v>
      </c>
      <c r="AB28" s="29">
        <f t="shared" si="4"/>
        <v>697789</v>
      </c>
      <c r="AC28" s="29">
        <f t="shared" si="8"/>
        <v>49586451.040000007</v>
      </c>
      <c r="AD28" s="28"/>
      <c r="AE28" s="28"/>
      <c r="AF28" s="29">
        <f t="shared" si="5"/>
        <v>49586451.040000007</v>
      </c>
      <c r="AG28" s="24">
        <v>2023</v>
      </c>
      <c r="AH28" s="24">
        <v>2023</v>
      </c>
    </row>
    <row r="29" spans="1:34" ht="109.9" customHeight="1" x14ac:dyDescent="0.35">
      <c r="A29" s="24">
        <v>16</v>
      </c>
      <c r="B29" s="26" t="s">
        <v>69</v>
      </c>
      <c r="C29" s="24" t="s">
        <v>111</v>
      </c>
      <c r="D29" s="24">
        <v>1972</v>
      </c>
      <c r="E29" s="24">
        <v>9</v>
      </c>
      <c r="F29" s="27">
        <v>4577</v>
      </c>
      <c r="G29" s="27">
        <f>3908+34.2</f>
        <v>3942.2</v>
      </c>
      <c r="H29" s="27">
        <v>3908</v>
      </c>
      <c r="I29" s="24">
        <v>167</v>
      </c>
      <c r="J29" s="24" t="s">
        <v>42</v>
      </c>
      <c r="K29" s="24" t="s">
        <v>96</v>
      </c>
      <c r="L29" s="28"/>
      <c r="M29" s="29"/>
      <c r="N29" s="28"/>
      <c r="O29" s="28"/>
      <c r="P29" s="28"/>
      <c r="Q29" s="28"/>
      <c r="R29" s="28"/>
      <c r="S29" s="28"/>
      <c r="T29" s="28"/>
      <c r="U29" s="28"/>
      <c r="V29" s="28"/>
      <c r="W29" s="29">
        <f>ROUND(G29*1914.17,2)</f>
        <v>7546040.9699999997</v>
      </c>
      <c r="X29" s="29"/>
      <c r="Y29" s="28"/>
      <c r="Z29" s="29"/>
      <c r="AA29" s="29">
        <v>1114467.6000000001</v>
      </c>
      <c r="AB29" s="29">
        <f t="shared" si="4"/>
        <v>113190.61</v>
      </c>
      <c r="AC29" s="29">
        <f t="shared" si="8"/>
        <v>8773699.1799999997</v>
      </c>
      <c r="AD29" s="28"/>
      <c r="AE29" s="28"/>
      <c r="AF29" s="29">
        <f t="shared" si="5"/>
        <v>8773699.1799999997</v>
      </c>
      <c r="AG29" s="24">
        <v>2023</v>
      </c>
      <c r="AH29" s="24">
        <v>2023</v>
      </c>
    </row>
    <row r="30" spans="1:34" ht="109.9" customHeight="1" x14ac:dyDescent="0.35">
      <c r="A30" s="24">
        <v>17</v>
      </c>
      <c r="B30" s="26" t="s">
        <v>69</v>
      </c>
      <c r="C30" s="24" t="s">
        <v>112</v>
      </c>
      <c r="D30" s="24">
        <v>1973</v>
      </c>
      <c r="E30" s="24">
        <v>9</v>
      </c>
      <c r="F30" s="27">
        <v>12825.2</v>
      </c>
      <c r="G30" s="27">
        <f>10958.1+328.3</f>
        <v>11286.4</v>
      </c>
      <c r="H30" s="27">
        <v>10958.1</v>
      </c>
      <c r="I30" s="24" t="s">
        <v>230</v>
      </c>
      <c r="J30" s="24" t="s">
        <v>42</v>
      </c>
      <c r="K30" s="24" t="s">
        <v>96</v>
      </c>
      <c r="L30" s="28"/>
      <c r="M30" s="29"/>
      <c r="N30" s="28"/>
      <c r="O30" s="28"/>
      <c r="P30" s="28"/>
      <c r="Q30" s="28"/>
      <c r="R30" s="28"/>
      <c r="S30" s="28"/>
      <c r="T30" s="28"/>
      <c r="U30" s="28"/>
      <c r="V30" s="28"/>
      <c r="W30" s="29">
        <f>ROUND(G30*1914.17,2)</f>
        <v>21604088.289999999</v>
      </c>
      <c r="X30" s="28"/>
      <c r="Y30" s="28"/>
      <c r="Z30" s="28"/>
      <c r="AA30" s="29">
        <v>1476280.8</v>
      </c>
      <c r="AB30" s="29">
        <f t="shared" si="4"/>
        <v>324061.32</v>
      </c>
      <c r="AC30" s="29">
        <f t="shared" si="8"/>
        <v>23404430.41</v>
      </c>
      <c r="AD30" s="28"/>
      <c r="AE30" s="28"/>
      <c r="AF30" s="29">
        <f t="shared" si="5"/>
        <v>23404430.41</v>
      </c>
      <c r="AG30" s="24">
        <v>2023</v>
      </c>
      <c r="AH30" s="24">
        <v>2023</v>
      </c>
    </row>
    <row r="31" spans="1:34" ht="109.9" customHeight="1" x14ac:dyDescent="0.35">
      <c r="A31" s="24">
        <v>18</v>
      </c>
      <c r="B31" s="26" t="s">
        <v>69</v>
      </c>
      <c r="C31" s="24" t="s">
        <v>113</v>
      </c>
      <c r="D31" s="24">
        <v>1949</v>
      </c>
      <c r="E31" s="24">
        <v>2</v>
      </c>
      <c r="F31" s="27">
        <v>930.4</v>
      </c>
      <c r="G31" s="27">
        <v>930.4</v>
      </c>
      <c r="H31" s="27">
        <v>930.4</v>
      </c>
      <c r="I31" s="24">
        <v>14</v>
      </c>
      <c r="J31" s="24" t="s">
        <v>42</v>
      </c>
      <c r="K31" s="24" t="s">
        <v>96</v>
      </c>
      <c r="L31" s="28"/>
      <c r="M31" s="29"/>
      <c r="N31" s="28"/>
      <c r="O31" s="28"/>
      <c r="P31" s="28"/>
      <c r="Q31" s="28"/>
      <c r="R31" s="28"/>
      <c r="S31" s="28"/>
      <c r="T31" s="28"/>
      <c r="U31" s="28"/>
      <c r="V31" s="28"/>
      <c r="W31" s="29"/>
      <c r="X31" s="28"/>
      <c r="Y31" s="29">
        <f>ROUND(G31*6480.9,2)</f>
        <v>6029829.3600000003</v>
      </c>
      <c r="Z31" s="28"/>
      <c r="AA31" s="29">
        <v>377221.2</v>
      </c>
      <c r="AB31" s="29">
        <f t="shared" si="4"/>
        <v>90447.44</v>
      </c>
      <c r="AC31" s="29">
        <f t="shared" si="8"/>
        <v>6497498.0000000009</v>
      </c>
      <c r="AD31" s="28"/>
      <c r="AE31" s="28"/>
      <c r="AF31" s="29">
        <f t="shared" si="5"/>
        <v>6497498.0000000009</v>
      </c>
      <c r="AG31" s="24">
        <v>2023</v>
      </c>
      <c r="AH31" s="24">
        <v>2023</v>
      </c>
    </row>
    <row r="32" spans="1:34" ht="109.9" customHeight="1" x14ac:dyDescent="0.35">
      <c r="A32" s="24">
        <v>19</v>
      </c>
      <c r="B32" s="26" t="s">
        <v>69</v>
      </c>
      <c r="C32" s="24" t="s">
        <v>114</v>
      </c>
      <c r="D32" s="24">
        <v>1972</v>
      </c>
      <c r="E32" s="24">
        <v>5</v>
      </c>
      <c r="F32" s="27">
        <v>3198.3</v>
      </c>
      <c r="G32" s="27">
        <f>2700.3+225.5</f>
        <v>2925.8</v>
      </c>
      <c r="H32" s="27">
        <v>2700.3</v>
      </c>
      <c r="I32" s="24" t="s">
        <v>231</v>
      </c>
      <c r="J32" s="24" t="s">
        <v>42</v>
      </c>
      <c r="K32" s="24" t="s">
        <v>96</v>
      </c>
      <c r="L32" s="28"/>
      <c r="M32" s="29"/>
      <c r="N32" s="28"/>
      <c r="O32" s="28"/>
      <c r="P32" s="28"/>
      <c r="Q32" s="28"/>
      <c r="R32" s="28"/>
      <c r="S32" s="28"/>
      <c r="T32" s="28"/>
      <c r="U32" s="28"/>
      <c r="V32" s="28"/>
      <c r="W32" s="29">
        <f>ROUND(G32*3517.3,2)</f>
        <v>10290916.34</v>
      </c>
      <c r="X32" s="28"/>
      <c r="Y32" s="28"/>
      <c r="Z32" s="29"/>
      <c r="AA32" s="29">
        <v>692727.6</v>
      </c>
      <c r="AB32" s="29">
        <f t="shared" si="4"/>
        <v>154363.75</v>
      </c>
      <c r="AC32" s="29">
        <f t="shared" si="8"/>
        <v>11138007.689999999</v>
      </c>
      <c r="AD32" s="28"/>
      <c r="AE32" s="28"/>
      <c r="AF32" s="29">
        <f t="shared" si="5"/>
        <v>11138007.689999999</v>
      </c>
      <c r="AG32" s="24">
        <v>2023</v>
      </c>
      <c r="AH32" s="24">
        <v>2023</v>
      </c>
    </row>
    <row r="33" spans="1:34" ht="109.9" customHeight="1" x14ac:dyDescent="0.35">
      <c r="A33" s="24">
        <v>20</v>
      </c>
      <c r="B33" s="26" t="s">
        <v>69</v>
      </c>
      <c r="C33" s="24" t="s">
        <v>115</v>
      </c>
      <c r="D33" s="24">
        <v>1972</v>
      </c>
      <c r="E33" s="24">
        <v>5</v>
      </c>
      <c r="F33" s="27">
        <v>5181.1000000000004</v>
      </c>
      <c r="G33" s="27">
        <f>3957.5+750.7</f>
        <v>4708.2</v>
      </c>
      <c r="H33" s="27">
        <v>3957.5</v>
      </c>
      <c r="I33" s="24" t="s">
        <v>232</v>
      </c>
      <c r="J33" s="24" t="s">
        <v>42</v>
      </c>
      <c r="K33" s="24" t="s">
        <v>96</v>
      </c>
      <c r="L33" s="28"/>
      <c r="M33" s="29"/>
      <c r="N33" s="28"/>
      <c r="O33" s="28"/>
      <c r="P33" s="28"/>
      <c r="Q33" s="28"/>
      <c r="R33" s="28"/>
      <c r="S33" s="28"/>
      <c r="T33" s="28"/>
      <c r="U33" s="28"/>
      <c r="V33" s="28"/>
      <c r="W33" s="29">
        <f>ROUND(G33*3517.3,2)</f>
        <v>16560151.859999999</v>
      </c>
      <c r="X33" s="28"/>
      <c r="Y33" s="28"/>
      <c r="Z33" s="29"/>
      <c r="AA33" s="29">
        <v>784846.8</v>
      </c>
      <c r="AB33" s="29">
        <f t="shared" si="4"/>
        <v>248402.28</v>
      </c>
      <c r="AC33" s="29">
        <f t="shared" si="8"/>
        <v>17593400.940000001</v>
      </c>
      <c r="AD33" s="28"/>
      <c r="AE33" s="28"/>
      <c r="AF33" s="29">
        <f t="shared" si="5"/>
        <v>17593400.940000001</v>
      </c>
      <c r="AG33" s="24">
        <v>2023</v>
      </c>
      <c r="AH33" s="24">
        <v>2023</v>
      </c>
    </row>
    <row r="34" spans="1:34" ht="109.9" customHeight="1" x14ac:dyDescent="0.35">
      <c r="A34" s="24">
        <v>21</v>
      </c>
      <c r="B34" s="26" t="s">
        <v>69</v>
      </c>
      <c r="C34" s="24" t="s">
        <v>116</v>
      </c>
      <c r="D34" s="24">
        <v>1971</v>
      </c>
      <c r="E34" s="24">
        <v>5</v>
      </c>
      <c r="F34" s="27">
        <v>6400.9</v>
      </c>
      <c r="G34" s="27">
        <v>5822.5</v>
      </c>
      <c r="H34" s="27">
        <v>5792</v>
      </c>
      <c r="I34" s="24" t="s">
        <v>233</v>
      </c>
      <c r="J34" s="24" t="s">
        <v>42</v>
      </c>
      <c r="K34" s="24" t="s">
        <v>96</v>
      </c>
      <c r="L34" s="28"/>
      <c r="M34" s="29"/>
      <c r="N34" s="28"/>
      <c r="O34" s="28"/>
      <c r="P34" s="28"/>
      <c r="Q34" s="28"/>
      <c r="R34" s="28"/>
      <c r="S34" s="28"/>
      <c r="T34" s="28"/>
      <c r="U34" s="28"/>
      <c r="V34" s="28"/>
      <c r="W34" s="29">
        <f>ROUND(G34*3517.3,2)</f>
        <v>20479479.25</v>
      </c>
      <c r="X34" s="28"/>
      <c r="Y34" s="28"/>
      <c r="Z34" s="29"/>
      <c r="AA34" s="29">
        <v>825242.4</v>
      </c>
      <c r="AB34" s="29">
        <f t="shared" si="4"/>
        <v>307192.19</v>
      </c>
      <c r="AC34" s="29">
        <f t="shared" si="8"/>
        <v>21611913.84</v>
      </c>
      <c r="AD34" s="28"/>
      <c r="AE34" s="28"/>
      <c r="AF34" s="29">
        <f t="shared" si="5"/>
        <v>21611913.84</v>
      </c>
      <c r="AG34" s="24">
        <v>2023</v>
      </c>
      <c r="AH34" s="24">
        <v>2023</v>
      </c>
    </row>
    <row r="35" spans="1:34" ht="109.9" customHeight="1" x14ac:dyDescent="0.35">
      <c r="A35" s="24">
        <v>22</v>
      </c>
      <c r="B35" s="26" t="s">
        <v>69</v>
      </c>
      <c r="C35" s="24" t="s">
        <v>117</v>
      </c>
      <c r="D35" s="24">
        <v>1986</v>
      </c>
      <c r="E35" s="24">
        <v>9</v>
      </c>
      <c r="F35" s="27">
        <v>9097.7000000000007</v>
      </c>
      <c r="G35" s="27">
        <f>7813.6+127.2</f>
        <v>7940.8</v>
      </c>
      <c r="H35" s="27">
        <v>7813.6</v>
      </c>
      <c r="I35" s="24">
        <v>298</v>
      </c>
      <c r="J35" s="24" t="s">
        <v>42</v>
      </c>
      <c r="K35" s="24" t="s">
        <v>96</v>
      </c>
      <c r="L35" s="28"/>
      <c r="M35" s="29"/>
      <c r="N35" s="28"/>
      <c r="O35" s="28"/>
      <c r="P35" s="28"/>
      <c r="Q35" s="28"/>
      <c r="R35" s="28"/>
      <c r="S35" s="28"/>
      <c r="T35" s="28"/>
      <c r="U35" s="28"/>
      <c r="V35" s="28"/>
      <c r="W35" s="29">
        <f>ROUND(G35*1914.17,2)</f>
        <v>15200041.140000001</v>
      </c>
      <c r="X35" s="28"/>
      <c r="Y35" s="28"/>
      <c r="Z35" s="29"/>
      <c r="AA35" s="29">
        <v>1290904.8</v>
      </c>
      <c r="AB35" s="29">
        <f t="shared" si="4"/>
        <v>228000.62</v>
      </c>
      <c r="AC35" s="29">
        <f t="shared" si="8"/>
        <v>16718946.560000001</v>
      </c>
      <c r="AD35" s="28"/>
      <c r="AE35" s="28"/>
      <c r="AF35" s="29">
        <f t="shared" si="5"/>
        <v>16718946.560000001</v>
      </c>
      <c r="AG35" s="24">
        <v>2023</v>
      </c>
      <c r="AH35" s="24">
        <v>2023</v>
      </c>
    </row>
    <row r="36" spans="1:34" ht="109.9" customHeight="1" x14ac:dyDescent="0.35">
      <c r="A36" s="24">
        <v>23</v>
      </c>
      <c r="B36" s="26" t="s">
        <v>69</v>
      </c>
      <c r="C36" s="24" t="s">
        <v>118</v>
      </c>
      <c r="D36" s="24">
        <v>1972</v>
      </c>
      <c r="E36" s="24">
        <v>5</v>
      </c>
      <c r="F36" s="27">
        <v>3491.7</v>
      </c>
      <c r="G36" s="27">
        <v>3181.7</v>
      </c>
      <c r="H36" s="27">
        <v>2671.3</v>
      </c>
      <c r="I36" s="24" t="s">
        <v>234</v>
      </c>
      <c r="J36" s="24" t="s">
        <v>42</v>
      </c>
      <c r="K36" s="24" t="s">
        <v>96</v>
      </c>
      <c r="L36" s="28"/>
      <c r="M36" s="29"/>
      <c r="N36" s="28"/>
      <c r="O36" s="28"/>
      <c r="P36" s="28"/>
      <c r="Q36" s="28"/>
      <c r="R36" s="28"/>
      <c r="S36" s="28"/>
      <c r="T36" s="28"/>
      <c r="U36" s="28"/>
      <c r="V36" s="28"/>
      <c r="W36" s="29">
        <f>ROUND(G36*3517.3,2)</f>
        <v>11190993.41</v>
      </c>
      <c r="X36" s="28"/>
      <c r="Y36" s="29"/>
      <c r="Z36" s="28"/>
      <c r="AA36" s="29">
        <v>708530.4</v>
      </c>
      <c r="AB36" s="29">
        <f t="shared" si="4"/>
        <v>167864.9</v>
      </c>
      <c r="AC36" s="29">
        <f t="shared" si="8"/>
        <v>12067388.710000001</v>
      </c>
      <c r="AD36" s="28"/>
      <c r="AE36" s="28"/>
      <c r="AF36" s="29">
        <f t="shared" si="5"/>
        <v>12067388.710000001</v>
      </c>
      <c r="AG36" s="24">
        <v>2023</v>
      </c>
      <c r="AH36" s="24">
        <v>2023</v>
      </c>
    </row>
    <row r="37" spans="1:34" ht="109.9" customHeight="1" x14ac:dyDescent="0.35">
      <c r="A37" s="24">
        <v>24</v>
      </c>
      <c r="B37" s="26" t="s">
        <v>69</v>
      </c>
      <c r="C37" s="24" t="s">
        <v>119</v>
      </c>
      <c r="D37" s="24">
        <v>1975</v>
      </c>
      <c r="E37" s="24">
        <v>9</v>
      </c>
      <c r="F37" s="27">
        <v>4542.8999999999996</v>
      </c>
      <c r="G37" s="27">
        <f>3829.9+79.7</f>
        <v>3909.6</v>
      </c>
      <c r="H37" s="27">
        <v>3829.9</v>
      </c>
      <c r="I37" s="24">
        <v>139</v>
      </c>
      <c r="J37" s="24" t="s">
        <v>42</v>
      </c>
      <c r="K37" s="24" t="s">
        <v>96</v>
      </c>
      <c r="L37" s="28"/>
      <c r="M37" s="29"/>
      <c r="N37" s="28"/>
      <c r="O37" s="28"/>
      <c r="P37" s="28"/>
      <c r="Q37" s="28"/>
      <c r="R37" s="28"/>
      <c r="S37" s="28"/>
      <c r="T37" s="28"/>
      <c r="U37" s="28"/>
      <c r="V37" s="28"/>
      <c r="W37" s="29">
        <f>ROUND(G37*1914.17,2)</f>
        <v>7483639.0300000003</v>
      </c>
      <c r="X37" s="28"/>
      <c r="Y37" s="28"/>
      <c r="Z37" s="28"/>
      <c r="AA37" s="29">
        <v>1115485.2</v>
      </c>
      <c r="AB37" s="29">
        <f t="shared" si="4"/>
        <v>112254.59</v>
      </c>
      <c r="AC37" s="29">
        <f t="shared" si="8"/>
        <v>8711378.8200000003</v>
      </c>
      <c r="AD37" s="28"/>
      <c r="AE37" s="28"/>
      <c r="AF37" s="29">
        <f t="shared" si="5"/>
        <v>8711378.8200000003</v>
      </c>
      <c r="AG37" s="24">
        <v>2023</v>
      </c>
      <c r="AH37" s="24">
        <v>2023</v>
      </c>
    </row>
    <row r="38" spans="1:34" ht="109.9" customHeight="1" x14ac:dyDescent="0.35">
      <c r="A38" s="24">
        <v>25</v>
      </c>
      <c r="B38" s="26" t="s">
        <v>69</v>
      </c>
      <c r="C38" s="24" t="s">
        <v>120</v>
      </c>
      <c r="D38" s="24">
        <v>1954</v>
      </c>
      <c r="E38" s="24">
        <v>5</v>
      </c>
      <c r="F38" s="27">
        <v>4124.7</v>
      </c>
      <c r="G38" s="27">
        <v>3893.6</v>
      </c>
      <c r="H38" s="27" t="s">
        <v>235</v>
      </c>
      <c r="I38" s="24" t="s">
        <v>236</v>
      </c>
      <c r="J38" s="24" t="s">
        <v>42</v>
      </c>
      <c r="K38" s="24" t="s">
        <v>96</v>
      </c>
      <c r="L38" s="28"/>
      <c r="M38" s="29">
        <f>SUM(N38:U38)</f>
        <v>22445202.310000002</v>
      </c>
      <c r="N38" s="29">
        <f>ROUND(G38*616.25,2)</f>
        <v>2399431</v>
      </c>
      <c r="O38" s="29">
        <f>ROUND(G38*3201.73,2)</f>
        <v>12466255.93</v>
      </c>
      <c r="P38" s="29"/>
      <c r="Q38" s="29">
        <f>ROUND(G38*620.83,2)</f>
        <v>2417263.69</v>
      </c>
      <c r="R38" s="29">
        <f>ROUND(G38*660.21,2)</f>
        <v>2570593.66</v>
      </c>
      <c r="S38" s="29"/>
      <c r="T38" s="29">
        <f>ROUND(G38*665.62,2)</f>
        <v>2591658.0299999998</v>
      </c>
      <c r="U38" s="28"/>
      <c r="V38" s="28"/>
      <c r="W38" s="28"/>
      <c r="X38" s="29">
        <f>ROUND(G38*706.71,2)</f>
        <v>2751646.06</v>
      </c>
      <c r="Y38" s="29">
        <f>ROUND(G38*3435.59,2)</f>
        <v>13376813.220000001</v>
      </c>
      <c r="Z38" s="29">
        <f>ROUND(G38*1135.41,2)</f>
        <v>4420832.38</v>
      </c>
      <c r="AA38" s="29">
        <v>2304175.2000000002</v>
      </c>
      <c r="AB38" s="29">
        <f>ROUND((M38+V38+W38+X38+Y38+Z38)*0.015,2)</f>
        <v>644917.41</v>
      </c>
      <c r="AC38" s="29">
        <f>SUM(N38:AB38)</f>
        <v>45943586.580000006</v>
      </c>
      <c r="AD38" s="28"/>
      <c r="AE38" s="28"/>
      <c r="AF38" s="29">
        <f>AC38-(AD38+AE38)</f>
        <v>45943586.580000006</v>
      </c>
      <c r="AG38" s="24">
        <v>2023</v>
      </c>
      <c r="AH38" s="24">
        <v>2023</v>
      </c>
    </row>
    <row r="39" spans="1:34" ht="109.9" customHeight="1" x14ac:dyDescent="0.35">
      <c r="A39" s="24">
        <v>26</v>
      </c>
      <c r="B39" s="26" t="s">
        <v>69</v>
      </c>
      <c r="C39" s="24" t="s">
        <v>121</v>
      </c>
      <c r="D39" s="24">
        <v>1963</v>
      </c>
      <c r="E39" s="24">
        <v>5</v>
      </c>
      <c r="F39" s="27">
        <v>3563.7</v>
      </c>
      <c r="G39" s="27">
        <v>3533.2</v>
      </c>
      <c r="H39" s="27">
        <v>3533.2</v>
      </c>
      <c r="I39" s="24">
        <v>196</v>
      </c>
      <c r="J39" s="24" t="s">
        <v>42</v>
      </c>
      <c r="K39" s="24" t="s">
        <v>96</v>
      </c>
      <c r="L39" s="28"/>
      <c r="M39" s="29"/>
      <c r="N39" s="29"/>
      <c r="O39" s="29"/>
      <c r="P39" s="29"/>
      <c r="Q39" s="29"/>
      <c r="R39" s="29"/>
      <c r="S39" s="28"/>
      <c r="T39" s="29"/>
      <c r="U39" s="28"/>
      <c r="V39" s="28"/>
      <c r="W39" s="28"/>
      <c r="X39" s="29"/>
      <c r="Y39" s="29">
        <f>ROUND(G39*3170.13,2)</f>
        <v>11200703.32</v>
      </c>
      <c r="Z39" s="29"/>
      <c r="AA39" s="29">
        <v>937663.2</v>
      </c>
      <c r="AB39" s="29">
        <f t="shared" si="4"/>
        <v>168010.55</v>
      </c>
      <c r="AC39" s="29">
        <f t="shared" si="8"/>
        <v>12306377.07</v>
      </c>
      <c r="AD39" s="28"/>
      <c r="AE39" s="28"/>
      <c r="AF39" s="29">
        <f t="shared" si="5"/>
        <v>12306377.07</v>
      </c>
      <c r="AG39" s="24">
        <v>2023</v>
      </c>
      <c r="AH39" s="24">
        <v>2023</v>
      </c>
    </row>
    <row r="40" spans="1:34" ht="109.9" customHeight="1" x14ac:dyDescent="0.35">
      <c r="A40" s="24">
        <v>27</v>
      </c>
      <c r="B40" s="26" t="s">
        <v>69</v>
      </c>
      <c r="C40" s="24" t="s">
        <v>122</v>
      </c>
      <c r="D40" s="24">
        <v>1965</v>
      </c>
      <c r="E40" s="24">
        <v>5</v>
      </c>
      <c r="F40" s="27">
        <v>1744.3</v>
      </c>
      <c r="G40" s="27">
        <v>1614.1</v>
      </c>
      <c r="H40" s="27">
        <v>1481.6</v>
      </c>
      <c r="I40" s="24">
        <v>71</v>
      </c>
      <c r="J40" s="24" t="s">
        <v>42</v>
      </c>
      <c r="K40" s="24" t="s">
        <v>96</v>
      </c>
      <c r="L40" s="28"/>
      <c r="M40" s="29"/>
      <c r="N40" s="29"/>
      <c r="O40" s="29"/>
      <c r="P40" s="29"/>
      <c r="Q40" s="29"/>
      <c r="R40" s="29"/>
      <c r="S40" s="28"/>
      <c r="T40" s="29"/>
      <c r="U40" s="28"/>
      <c r="V40" s="28"/>
      <c r="W40" s="28"/>
      <c r="X40" s="29"/>
      <c r="Y40" s="29">
        <f>ROUND(G40*3284.11,2)</f>
        <v>5300881.95</v>
      </c>
      <c r="Z40" s="29"/>
      <c r="AA40" s="29">
        <v>794210.4</v>
      </c>
      <c r="AB40" s="29">
        <f t="shared" si="4"/>
        <v>79513.23</v>
      </c>
      <c r="AC40" s="29">
        <f t="shared" si="8"/>
        <v>6174605.580000001</v>
      </c>
      <c r="AD40" s="28"/>
      <c r="AE40" s="28"/>
      <c r="AF40" s="29">
        <f t="shared" si="5"/>
        <v>6174605.580000001</v>
      </c>
      <c r="AG40" s="24">
        <v>2023</v>
      </c>
      <c r="AH40" s="24">
        <v>2023</v>
      </c>
    </row>
    <row r="41" spans="1:34" ht="109.9" customHeight="1" x14ac:dyDescent="0.35">
      <c r="A41" s="24">
        <v>28</v>
      </c>
      <c r="B41" s="26" t="s">
        <v>69</v>
      </c>
      <c r="C41" s="24" t="s">
        <v>123</v>
      </c>
      <c r="D41" s="24">
        <v>1953</v>
      </c>
      <c r="E41" s="24">
        <v>4</v>
      </c>
      <c r="F41" s="27">
        <v>2275.4</v>
      </c>
      <c r="G41" s="27">
        <v>2271.1</v>
      </c>
      <c r="H41" s="27">
        <v>1405.4</v>
      </c>
      <c r="I41" s="24">
        <v>41</v>
      </c>
      <c r="J41" s="24" t="s">
        <v>42</v>
      </c>
      <c r="K41" s="24" t="s">
        <v>96</v>
      </c>
      <c r="L41" s="28"/>
      <c r="M41" s="29">
        <f t="shared" ref="M41" si="22">SUM(N41:U41)</f>
        <v>8513808.8499999996</v>
      </c>
      <c r="N41" s="29">
        <f>ROUND(G41*616.25,2)</f>
        <v>1399565.38</v>
      </c>
      <c r="O41" s="29">
        <f>ROUND(G41*871.5,2)</f>
        <v>1979263.65</v>
      </c>
      <c r="P41" s="29"/>
      <c r="Q41" s="29">
        <f t="shared" ref="Q41" si="23">ROUND(G41*596.38,2)</f>
        <v>1354438.62</v>
      </c>
      <c r="R41" s="29">
        <f t="shared" ref="R41" si="24">ROUND(G41*589.88,2)</f>
        <v>1339676.47</v>
      </c>
      <c r="S41" s="29"/>
      <c r="T41" s="29">
        <f t="shared" ref="T41" si="25">ROUND(G41*1074.75,2)</f>
        <v>2440864.73</v>
      </c>
      <c r="U41" s="29"/>
      <c r="V41" s="28"/>
      <c r="W41" s="28"/>
      <c r="X41" s="28">
        <v>4438297.18</v>
      </c>
      <c r="Y41" s="29">
        <f>ROUND(G41*2647.87,2)</f>
        <v>6013577.5599999996</v>
      </c>
      <c r="Z41" s="29">
        <f t="shared" ref="Z41" si="26">ROUND(G41*1135.41,2)</f>
        <v>2578629.65</v>
      </c>
      <c r="AA41" s="29">
        <f>372987.6+1539877.2</f>
        <v>1912864.7999999998</v>
      </c>
      <c r="AB41" s="29">
        <f t="shared" si="4"/>
        <v>323164.7</v>
      </c>
      <c r="AC41" s="29">
        <f t="shared" si="8"/>
        <v>23780342.739999998</v>
      </c>
      <c r="AD41" s="28"/>
      <c r="AE41" s="28"/>
      <c r="AF41" s="29">
        <f t="shared" si="5"/>
        <v>23780342.739999998</v>
      </c>
      <c r="AG41" s="24">
        <v>2023</v>
      </c>
      <c r="AH41" s="24">
        <v>2023</v>
      </c>
    </row>
    <row r="42" spans="1:34" ht="109.9" customHeight="1" x14ac:dyDescent="0.35">
      <c r="A42" s="24">
        <v>29</v>
      </c>
      <c r="B42" s="26" t="s">
        <v>69</v>
      </c>
      <c r="C42" s="24" t="s">
        <v>124</v>
      </c>
      <c r="D42" s="24">
        <v>1971</v>
      </c>
      <c r="E42" s="24">
        <v>5</v>
      </c>
      <c r="F42" s="27">
        <v>2745.7</v>
      </c>
      <c r="G42" s="27">
        <v>2728.5</v>
      </c>
      <c r="H42" s="27">
        <v>2716.1</v>
      </c>
      <c r="I42" s="24">
        <v>152</v>
      </c>
      <c r="J42" s="24" t="s">
        <v>42</v>
      </c>
      <c r="K42" s="24" t="s">
        <v>96</v>
      </c>
      <c r="L42" s="28"/>
      <c r="M42" s="29"/>
      <c r="N42" s="29"/>
      <c r="O42" s="29"/>
      <c r="P42" s="29"/>
      <c r="Q42" s="29"/>
      <c r="R42" s="29"/>
      <c r="S42" s="28"/>
      <c r="T42" s="29"/>
      <c r="U42" s="28"/>
      <c r="V42" s="28"/>
      <c r="W42" s="28"/>
      <c r="X42" s="28"/>
      <c r="Y42" s="29">
        <f>ROUND(G42*3170.13,2)</f>
        <v>8649699.7100000009</v>
      </c>
      <c r="Z42" s="28"/>
      <c r="AA42" s="29">
        <v>877893.6</v>
      </c>
      <c r="AB42" s="29">
        <f t="shared" si="4"/>
        <v>129745.5</v>
      </c>
      <c r="AC42" s="29">
        <f t="shared" si="8"/>
        <v>9657338.8100000005</v>
      </c>
      <c r="AD42" s="28"/>
      <c r="AE42" s="28"/>
      <c r="AF42" s="29">
        <f t="shared" si="5"/>
        <v>9657338.8100000005</v>
      </c>
      <c r="AG42" s="24">
        <v>2023</v>
      </c>
      <c r="AH42" s="24">
        <v>2023</v>
      </c>
    </row>
    <row r="43" spans="1:34" s="12" customFormat="1" ht="109.9" customHeight="1" x14ac:dyDescent="0.35">
      <c r="A43" s="161" t="s">
        <v>125</v>
      </c>
      <c r="B43" s="161"/>
      <c r="C43" s="161"/>
      <c r="D43" s="21"/>
      <c r="E43" s="21"/>
      <c r="F43" s="19">
        <f>SUM(F14:F42)</f>
        <v>125246.99999999999</v>
      </c>
      <c r="G43" s="19">
        <f>SUM(G14:G42)</f>
        <v>112129.20000000001</v>
      </c>
      <c r="H43" s="19"/>
      <c r="I43" s="21"/>
      <c r="J43" s="21"/>
      <c r="K43" s="21"/>
      <c r="L43" s="21"/>
      <c r="M43" s="22">
        <f>SUM(M14:M42)</f>
        <v>173563215.52000001</v>
      </c>
      <c r="N43" s="22">
        <f>SUM(N14:N42)</f>
        <v>21536273.649999999</v>
      </c>
      <c r="O43" s="22">
        <f>SUM(O14:O42)</f>
        <v>96508579.830000013</v>
      </c>
      <c r="P43" s="22"/>
      <c r="Q43" s="22">
        <f>SUM(Q14:Q42)</f>
        <v>15658910.039999999</v>
      </c>
      <c r="R43" s="22">
        <f>SUM(R14:R42)</f>
        <v>13810003.59</v>
      </c>
      <c r="S43" s="22"/>
      <c r="T43" s="22">
        <f>SUM(T14:T42)</f>
        <v>22027088.98</v>
      </c>
      <c r="U43" s="22">
        <f>SUM(U14:U42)</f>
        <v>4022359.4299999997</v>
      </c>
      <c r="V43" s="22"/>
      <c r="W43" s="22">
        <f t="shared" ref="W43:AC43" si="27">SUM(W14:W42)</f>
        <v>147198815.25999999</v>
      </c>
      <c r="X43" s="22">
        <f t="shared" si="27"/>
        <v>20789737.710000001</v>
      </c>
      <c r="Y43" s="22">
        <f t="shared" si="27"/>
        <v>69748771.530000001</v>
      </c>
      <c r="Z43" s="22">
        <f t="shared" si="27"/>
        <v>32160942.41</v>
      </c>
      <c r="AA43" s="22">
        <f t="shared" si="27"/>
        <v>34248214.799999997</v>
      </c>
      <c r="AB43" s="22">
        <f t="shared" si="27"/>
        <v>6651922.2300000014</v>
      </c>
      <c r="AC43" s="22">
        <f t="shared" si="27"/>
        <v>484361619.45999998</v>
      </c>
      <c r="AD43" s="22"/>
      <c r="AE43" s="22"/>
      <c r="AF43" s="22">
        <f>SUM(AF14:AF42)</f>
        <v>484361619.45999998</v>
      </c>
      <c r="AG43" s="21">
        <v>2023</v>
      </c>
      <c r="AH43" s="21">
        <v>2023</v>
      </c>
    </row>
    <row r="44" spans="1:34" s="12" customFormat="1" ht="109.9" customHeight="1" x14ac:dyDescent="0.35">
      <c r="A44" s="166" t="s">
        <v>126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8"/>
    </row>
    <row r="45" spans="1:34" s="31" customFormat="1" ht="109.9" customHeight="1" x14ac:dyDescent="0.35">
      <c r="A45" s="24">
        <v>30</v>
      </c>
      <c r="B45" s="26" t="s">
        <v>69</v>
      </c>
      <c r="C45" s="24" t="s">
        <v>127</v>
      </c>
      <c r="D45" s="24">
        <v>1952</v>
      </c>
      <c r="E45" s="24">
        <v>5</v>
      </c>
      <c r="F45" s="27">
        <v>3581.6</v>
      </c>
      <c r="G45" s="27">
        <f>3287.3+33.9</f>
        <v>3321.2000000000003</v>
      </c>
      <c r="H45" s="27">
        <v>3287.3</v>
      </c>
      <c r="I45" s="24">
        <v>155</v>
      </c>
      <c r="J45" s="24" t="s">
        <v>42</v>
      </c>
      <c r="K45" s="24" t="s">
        <v>96</v>
      </c>
      <c r="L45" s="28"/>
      <c r="M45" s="29">
        <f t="shared" ref="M45:M48" si="28">SUM(N45:U45)</f>
        <v>17471703.989999998</v>
      </c>
      <c r="N45" s="29">
        <f>ROUND(G45*616.25,2)</f>
        <v>2046689.5</v>
      </c>
      <c r="O45" s="29">
        <f>ROUND(G45*3349.66,2)</f>
        <v>11124890.789999999</v>
      </c>
      <c r="P45" s="29"/>
      <c r="Q45" s="29">
        <f>ROUND(G45*650.2,2)</f>
        <v>2159444.2400000002</v>
      </c>
      <c r="R45" s="28"/>
      <c r="S45" s="28"/>
      <c r="T45" s="29">
        <f>ROUND(G45*644.55,2)</f>
        <v>2140679.46</v>
      </c>
      <c r="U45" s="28"/>
      <c r="V45" s="28"/>
      <c r="W45" s="28"/>
      <c r="X45" s="28"/>
      <c r="Y45" s="28"/>
      <c r="Z45" s="28"/>
      <c r="AA45" s="29">
        <v>1164776.3999999999</v>
      </c>
      <c r="AB45" s="29">
        <f>ROUND((M45+V45+W45+X45+Y45+Z45)*0.015,2)</f>
        <v>262075.56</v>
      </c>
      <c r="AC45" s="29">
        <f>SUM(N45:AB45)</f>
        <v>18898555.949999996</v>
      </c>
      <c r="AD45" s="29"/>
      <c r="AE45" s="28"/>
      <c r="AF45" s="29">
        <f>AC45-(AD45+AE45)</f>
        <v>18898555.949999996</v>
      </c>
      <c r="AG45" s="24">
        <v>2024</v>
      </c>
      <c r="AH45" s="24">
        <v>2024</v>
      </c>
    </row>
    <row r="46" spans="1:34" ht="109.9" customHeight="1" x14ac:dyDescent="0.35">
      <c r="A46" s="24">
        <v>31</v>
      </c>
      <c r="B46" s="26" t="s">
        <v>69</v>
      </c>
      <c r="C46" s="24" t="s">
        <v>128</v>
      </c>
      <c r="D46" s="24">
        <v>1956</v>
      </c>
      <c r="E46" s="24">
        <v>5</v>
      </c>
      <c r="F46" s="27">
        <v>6203.7</v>
      </c>
      <c r="G46" s="27">
        <f>3984.7+1711.4</f>
        <v>5696.1</v>
      </c>
      <c r="H46" s="27">
        <v>3984.7</v>
      </c>
      <c r="I46" s="24">
        <v>160</v>
      </c>
      <c r="J46" s="24" t="s">
        <v>42</v>
      </c>
      <c r="K46" s="24" t="s">
        <v>96</v>
      </c>
      <c r="L46" s="28"/>
      <c r="M46" s="29">
        <f t="shared" ref="M46" si="29">SUM(N46:U46)</f>
        <v>32835965.899999999</v>
      </c>
      <c r="N46" s="29">
        <f>ROUND(G46*616.25,2)</f>
        <v>3510221.63</v>
      </c>
      <c r="O46" s="29">
        <f>ROUND(G46*3201.73,2)</f>
        <v>18237374.25</v>
      </c>
      <c r="P46" s="29"/>
      <c r="Q46" s="29">
        <f>ROUND(G46*620.83,2)</f>
        <v>3536309.76</v>
      </c>
      <c r="R46" s="29">
        <f>ROUND(G46*660.21,2)</f>
        <v>3760622.18</v>
      </c>
      <c r="S46" s="29"/>
      <c r="T46" s="29">
        <f>ROUND(G46*665.62,2)</f>
        <v>3791438.08</v>
      </c>
      <c r="U46" s="28"/>
      <c r="V46" s="28"/>
      <c r="W46" s="28"/>
      <c r="X46" s="29">
        <f>ROUND(G46*706.71,2)</f>
        <v>4025490.83</v>
      </c>
      <c r="Y46" s="29"/>
      <c r="Z46" s="29">
        <f>ROUND(G46*1135.41,2)</f>
        <v>6467408.9000000004</v>
      </c>
      <c r="AA46" s="29">
        <v>1824567.6</v>
      </c>
      <c r="AB46" s="29">
        <f>ROUND((M46+V46+W46+X46+Y46+Z46)*0.015,2)</f>
        <v>649932.98</v>
      </c>
      <c r="AC46" s="29">
        <f>SUM(N46:AB46)</f>
        <v>45803366.209999993</v>
      </c>
      <c r="AD46" s="29"/>
      <c r="AE46" s="28"/>
      <c r="AF46" s="29">
        <f>AC46-(AD46+AE46)</f>
        <v>45803366.209999993</v>
      </c>
      <c r="AG46" s="24">
        <v>2024</v>
      </c>
      <c r="AH46" s="24">
        <v>2024</v>
      </c>
    </row>
    <row r="47" spans="1:34" s="31" customFormat="1" ht="109.9" customHeight="1" x14ac:dyDescent="0.35">
      <c r="A47" s="24">
        <v>32</v>
      </c>
      <c r="B47" s="26" t="s">
        <v>69</v>
      </c>
      <c r="C47" s="24" t="s">
        <v>129</v>
      </c>
      <c r="D47" s="24">
        <v>1951</v>
      </c>
      <c r="E47" s="24">
        <v>5</v>
      </c>
      <c r="F47" s="27">
        <v>2788.3</v>
      </c>
      <c r="G47" s="27">
        <f>1803.8+755.2</f>
        <v>2559</v>
      </c>
      <c r="H47" s="27">
        <v>1107</v>
      </c>
      <c r="I47" s="24">
        <v>48</v>
      </c>
      <c r="J47" s="24" t="s">
        <v>45</v>
      </c>
      <c r="K47" s="24" t="s">
        <v>96</v>
      </c>
      <c r="L47" s="28"/>
      <c r="M47" s="29">
        <f t="shared" ref="M47" si="30">SUM(N47:U47)</f>
        <v>865223.49</v>
      </c>
      <c r="N47" s="28"/>
      <c r="O47" s="28"/>
      <c r="P47" s="28"/>
      <c r="Q47" s="28"/>
      <c r="R47" s="28"/>
      <c r="S47" s="28"/>
      <c r="T47" s="28"/>
      <c r="U47" s="29">
        <f>ROUND(G47*338.11,2)</f>
        <v>865223.49</v>
      </c>
      <c r="V47" s="28"/>
      <c r="W47" s="28"/>
      <c r="X47" s="29">
        <f>ROUND(G47*763.97,2)</f>
        <v>1954999.23</v>
      </c>
      <c r="Y47" s="29">
        <f>ROUND(G47*3435.59,2)</f>
        <v>8791674.8100000005</v>
      </c>
      <c r="Z47" s="29">
        <f>ROUND(G47*1135.41,2)</f>
        <v>2905514.19</v>
      </c>
      <c r="AA47" s="29">
        <v>1973956.8</v>
      </c>
      <c r="AB47" s="29">
        <f t="shared" ref="AB47:AB64" si="31">ROUND((M47+V47+W47+X47+Y47+Z47)*0.015,2)</f>
        <v>217761.18</v>
      </c>
      <c r="AC47" s="29">
        <f t="shared" ref="AC47:AC64" si="32">SUM(N47:AB47)</f>
        <v>16709129.700000001</v>
      </c>
      <c r="AD47" s="29"/>
      <c r="AE47" s="28"/>
      <c r="AF47" s="29">
        <f>AC47-(AD47+AE47)</f>
        <v>16709129.700000001</v>
      </c>
      <c r="AG47" s="24">
        <v>2024</v>
      </c>
      <c r="AH47" s="24">
        <v>2024</v>
      </c>
    </row>
    <row r="48" spans="1:34" s="31" customFormat="1" ht="109.9" customHeight="1" x14ac:dyDescent="0.35">
      <c r="A48" s="24">
        <v>33</v>
      </c>
      <c r="B48" s="26" t="s">
        <v>69</v>
      </c>
      <c r="C48" s="24" t="s">
        <v>130</v>
      </c>
      <c r="D48" s="24">
        <v>1952</v>
      </c>
      <c r="E48" s="24">
        <v>4</v>
      </c>
      <c r="F48" s="27">
        <v>3140.9</v>
      </c>
      <c r="G48" s="27">
        <f>1967.5+956.9</f>
        <v>2924.4</v>
      </c>
      <c r="H48" s="27">
        <v>1967.5</v>
      </c>
      <c r="I48" s="24">
        <v>64</v>
      </c>
      <c r="J48" s="24" t="s">
        <v>42</v>
      </c>
      <c r="K48" s="24" t="s">
        <v>96</v>
      </c>
      <c r="L48" s="28"/>
      <c r="M48" s="29">
        <f t="shared" si="28"/>
        <v>10962873.74</v>
      </c>
      <c r="N48" s="29">
        <f>ROUND(G48*616.25,2)</f>
        <v>1802161.5</v>
      </c>
      <c r="O48" s="29">
        <f>ROUND(G48*871.5,2)</f>
        <v>2548614.6</v>
      </c>
      <c r="P48" s="29"/>
      <c r="Q48" s="29">
        <f>ROUND(G48*596.38,2)</f>
        <v>1744053.67</v>
      </c>
      <c r="R48" s="29">
        <f>ROUND(G48*589.88,2)</f>
        <v>1725045.07</v>
      </c>
      <c r="S48" s="28"/>
      <c r="T48" s="29">
        <f>ROUND(G48*1074.75,2)</f>
        <v>3142998.9</v>
      </c>
      <c r="U48" s="28"/>
      <c r="V48" s="28"/>
      <c r="W48" s="28"/>
      <c r="X48" s="29">
        <f>ROUND(G48*1954.25,2)</f>
        <v>5715008.7000000002</v>
      </c>
      <c r="Y48" s="29"/>
      <c r="Z48" s="29">
        <f>ROUND(G48*1135.41,2)</f>
        <v>3320393</v>
      </c>
      <c r="AA48" s="29">
        <v>1694389.2</v>
      </c>
      <c r="AB48" s="29">
        <f t="shared" si="31"/>
        <v>299974.13</v>
      </c>
      <c r="AC48" s="29">
        <f t="shared" si="32"/>
        <v>21992638.77</v>
      </c>
      <c r="AD48" s="28"/>
      <c r="AE48" s="28"/>
      <c r="AF48" s="29">
        <f t="shared" ref="AF48:AF64" si="33">AC48-(AD48+AE48)</f>
        <v>21992638.77</v>
      </c>
      <c r="AG48" s="24">
        <v>2024</v>
      </c>
      <c r="AH48" s="24">
        <v>2024</v>
      </c>
    </row>
    <row r="49" spans="1:34" ht="109.9" customHeight="1" x14ac:dyDescent="0.35">
      <c r="A49" s="24">
        <v>34</v>
      </c>
      <c r="B49" s="26" t="s">
        <v>69</v>
      </c>
      <c r="C49" s="24" t="s">
        <v>131</v>
      </c>
      <c r="D49" s="24">
        <v>1954</v>
      </c>
      <c r="E49" s="24">
        <v>4</v>
      </c>
      <c r="F49" s="27">
        <v>2643</v>
      </c>
      <c r="G49" s="27">
        <f>1779.6+661.2</f>
        <v>2440.8000000000002</v>
      </c>
      <c r="H49" s="27">
        <v>1779.6</v>
      </c>
      <c r="I49" s="24">
        <v>55</v>
      </c>
      <c r="J49" s="24" t="s">
        <v>42</v>
      </c>
      <c r="K49" s="24" t="s">
        <v>96</v>
      </c>
      <c r="L49" s="28"/>
      <c r="M49" s="29">
        <f t="shared" ref="M49" si="34">SUM(N49:U49)</f>
        <v>9149973.3999999985</v>
      </c>
      <c r="N49" s="29">
        <f t="shared" ref="N49" si="35">ROUND(G49*616.25,2)</f>
        <v>1504143</v>
      </c>
      <c r="O49" s="29">
        <f>ROUND(G49*871.5,2)</f>
        <v>2127157.2000000002</v>
      </c>
      <c r="P49" s="29"/>
      <c r="Q49" s="29">
        <f t="shared" ref="Q49" si="36">ROUND(G49*596.38,2)</f>
        <v>1455644.3</v>
      </c>
      <c r="R49" s="29">
        <f t="shared" ref="R49" si="37">ROUND(G49*589.88,2)</f>
        <v>1439779.1</v>
      </c>
      <c r="S49" s="29"/>
      <c r="T49" s="29">
        <f t="shared" ref="T49" si="38">ROUND(G49*1074.75,2)</f>
        <v>2623249.7999999998</v>
      </c>
      <c r="U49" s="28"/>
      <c r="V49" s="28"/>
      <c r="W49" s="28"/>
      <c r="X49" s="29">
        <f t="shared" ref="X49" si="39">ROUND(G49*1954.25,2)</f>
        <v>4769933.4000000004</v>
      </c>
      <c r="Y49" s="29">
        <f t="shared" ref="Y49" si="40">ROUND(G49*3842.27,2)</f>
        <v>9378212.6199999992</v>
      </c>
      <c r="Z49" s="29">
        <f t="shared" ref="Z49" si="41">ROUND(G49*1135.41,2)</f>
        <v>2771308.73</v>
      </c>
      <c r="AA49" s="29">
        <v>1699182</v>
      </c>
      <c r="AB49" s="29">
        <f t="shared" si="31"/>
        <v>391041.42</v>
      </c>
      <c r="AC49" s="29">
        <f t="shared" si="32"/>
        <v>28159651.57</v>
      </c>
      <c r="AD49" s="28"/>
      <c r="AE49" s="28"/>
      <c r="AF49" s="29">
        <f t="shared" si="33"/>
        <v>28159651.57</v>
      </c>
      <c r="AG49" s="24">
        <v>2024</v>
      </c>
      <c r="AH49" s="24">
        <v>2024</v>
      </c>
    </row>
    <row r="50" spans="1:34" s="31" customFormat="1" ht="109.9" customHeight="1" x14ac:dyDescent="0.35">
      <c r="A50" s="24">
        <v>35</v>
      </c>
      <c r="B50" s="26" t="s">
        <v>69</v>
      </c>
      <c r="C50" s="24" t="s">
        <v>132</v>
      </c>
      <c r="D50" s="24">
        <v>1957</v>
      </c>
      <c r="E50" s="24">
        <v>4</v>
      </c>
      <c r="F50" s="27">
        <v>2645.9</v>
      </c>
      <c r="G50" s="27">
        <v>2608.3000000000002</v>
      </c>
      <c r="H50" s="27">
        <v>1121.0999999999999</v>
      </c>
      <c r="I50" s="24" t="s">
        <v>41</v>
      </c>
      <c r="J50" s="24" t="s">
        <v>42</v>
      </c>
      <c r="K50" s="24" t="s">
        <v>96</v>
      </c>
      <c r="L50" s="28"/>
      <c r="M50" s="29"/>
      <c r="N50" s="28"/>
      <c r="O50" s="28"/>
      <c r="P50" s="28"/>
      <c r="Q50" s="28"/>
      <c r="R50" s="28"/>
      <c r="S50" s="28"/>
      <c r="T50" s="28"/>
      <c r="U50" s="28"/>
      <c r="V50" s="28"/>
      <c r="W50" s="29"/>
      <c r="X50" s="28">
        <v>5097270.28</v>
      </c>
      <c r="Y50" s="28"/>
      <c r="Z50" s="28">
        <v>2961489.9</v>
      </c>
      <c r="AA50" s="22">
        <v>846241.8</v>
      </c>
      <c r="AB50" s="22">
        <f t="shared" si="31"/>
        <v>120881.4</v>
      </c>
      <c r="AC50" s="22">
        <f t="shared" si="32"/>
        <v>9025883.3800000008</v>
      </c>
      <c r="AD50" s="28"/>
      <c r="AE50" s="28"/>
      <c r="AF50" s="29">
        <f t="shared" si="33"/>
        <v>9025883.3800000008</v>
      </c>
      <c r="AG50" s="24">
        <v>2024</v>
      </c>
      <c r="AH50" s="24">
        <v>2024</v>
      </c>
    </row>
    <row r="51" spans="1:34" s="31" customFormat="1" ht="109.9" customHeight="1" x14ac:dyDescent="0.35">
      <c r="A51" s="24">
        <v>36</v>
      </c>
      <c r="B51" s="26" t="s">
        <v>69</v>
      </c>
      <c r="C51" s="24" t="s">
        <v>133</v>
      </c>
      <c r="D51" s="24">
        <v>1952</v>
      </c>
      <c r="E51" s="24">
        <v>5</v>
      </c>
      <c r="F51" s="27">
        <v>2167.6999999999998</v>
      </c>
      <c r="G51" s="27">
        <v>1927.2</v>
      </c>
      <c r="H51" s="27">
        <v>928.8</v>
      </c>
      <c r="I51" s="24">
        <v>35</v>
      </c>
      <c r="J51" s="24" t="s">
        <v>42</v>
      </c>
      <c r="K51" s="24" t="s">
        <v>96</v>
      </c>
      <c r="L51" s="28"/>
      <c r="M51" s="29">
        <f t="shared" ref="M51:M54" si="42">SUM(N51:U51)</f>
        <v>12630329.18</v>
      </c>
      <c r="N51" s="29">
        <f t="shared" ref="N51:N57" si="43">ROUND(G51*616.25,2)</f>
        <v>1187637</v>
      </c>
      <c r="O51" s="29">
        <f>ROUND(G51*3990.81,2)</f>
        <v>7691089.0300000003</v>
      </c>
      <c r="P51" s="29"/>
      <c r="Q51" s="29">
        <f>ROUND(G51*620.83,2)</f>
        <v>1196463.58</v>
      </c>
      <c r="R51" s="29">
        <f>ROUND(G51*660.21,2)</f>
        <v>1272356.71</v>
      </c>
      <c r="S51" s="28"/>
      <c r="T51" s="29">
        <f>ROUND(G51*665.62,2)</f>
        <v>1282782.8600000001</v>
      </c>
      <c r="U51" s="28"/>
      <c r="V51" s="28"/>
      <c r="W51" s="28"/>
      <c r="X51" s="28"/>
      <c r="Y51" s="28"/>
      <c r="Z51" s="28"/>
      <c r="AA51" s="29">
        <v>977536.8</v>
      </c>
      <c r="AB51" s="29">
        <f t="shared" si="31"/>
        <v>189454.94</v>
      </c>
      <c r="AC51" s="29">
        <f t="shared" si="32"/>
        <v>13797320.92</v>
      </c>
      <c r="AD51" s="28"/>
      <c r="AE51" s="28"/>
      <c r="AF51" s="29">
        <f t="shared" si="33"/>
        <v>13797320.92</v>
      </c>
      <c r="AG51" s="24">
        <v>2024</v>
      </c>
      <c r="AH51" s="24">
        <v>2024</v>
      </c>
    </row>
    <row r="52" spans="1:34" s="31" customFormat="1" ht="109.9" customHeight="1" x14ac:dyDescent="0.35">
      <c r="A52" s="24">
        <v>37</v>
      </c>
      <c r="B52" s="26" t="s">
        <v>69</v>
      </c>
      <c r="C52" s="24" t="s">
        <v>134</v>
      </c>
      <c r="D52" s="24">
        <v>1952</v>
      </c>
      <c r="E52" s="24">
        <v>4</v>
      </c>
      <c r="F52" s="27">
        <v>3075.7</v>
      </c>
      <c r="G52" s="27">
        <v>2804.5</v>
      </c>
      <c r="H52" s="27">
        <v>2251.9</v>
      </c>
      <c r="I52" s="24">
        <v>55</v>
      </c>
      <c r="J52" s="24" t="s">
        <v>42</v>
      </c>
      <c r="K52" s="24" t="s">
        <v>96</v>
      </c>
      <c r="L52" s="28"/>
      <c r="M52" s="29">
        <f t="shared" si="42"/>
        <v>11710846.210000001</v>
      </c>
      <c r="N52" s="29">
        <f t="shared" si="43"/>
        <v>1728273.13</v>
      </c>
      <c r="O52" s="29">
        <f>ROUND(G52*871.5,2)</f>
        <v>2444121.75</v>
      </c>
      <c r="P52" s="29"/>
      <c r="Q52" s="29">
        <f>ROUND(G52*596.38,2)</f>
        <v>1672547.71</v>
      </c>
      <c r="R52" s="29">
        <f>ROUND(G52*589.88,2)</f>
        <v>1654318.46</v>
      </c>
      <c r="S52" s="29">
        <f>ROUND(1*1197448.78,2)</f>
        <v>1197448.78</v>
      </c>
      <c r="T52" s="29">
        <f>ROUND(G52*1074.75,2)</f>
        <v>3014136.38</v>
      </c>
      <c r="U52" s="28"/>
      <c r="V52" s="28"/>
      <c r="W52" s="28"/>
      <c r="X52" s="28"/>
      <c r="Y52" s="28"/>
      <c r="Z52" s="29">
        <f>ROUND(G52*1135.41,2)</f>
        <v>3184257.35</v>
      </c>
      <c r="AA52" s="29">
        <f>1300579.2+124000</f>
        <v>1424579.2</v>
      </c>
      <c r="AB52" s="29">
        <f t="shared" si="31"/>
        <v>223426.55</v>
      </c>
      <c r="AC52" s="29">
        <f t="shared" si="32"/>
        <v>16543109.310000001</v>
      </c>
      <c r="AD52" s="28"/>
      <c r="AE52" s="28"/>
      <c r="AF52" s="29">
        <f t="shared" si="33"/>
        <v>16543109.310000001</v>
      </c>
      <c r="AG52" s="24">
        <v>2024</v>
      </c>
      <c r="AH52" s="24">
        <v>2024</v>
      </c>
    </row>
    <row r="53" spans="1:34" s="31" customFormat="1" ht="109.9" customHeight="1" x14ac:dyDescent="0.35">
      <c r="A53" s="24">
        <v>38</v>
      </c>
      <c r="B53" s="26" t="s">
        <v>69</v>
      </c>
      <c r="C53" s="24" t="s">
        <v>135</v>
      </c>
      <c r="D53" s="24">
        <v>1952</v>
      </c>
      <c r="E53" s="24">
        <v>4</v>
      </c>
      <c r="F53" s="27">
        <v>4112.6000000000004</v>
      </c>
      <c r="G53" s="27">
        <v>3649.8</v>
      </c>
      <c r="H53" s="27">
        <v>1571.9</v>
      </c>
      <c r="I53" s="24">
        <v>65</v>
      </c>
      <c r="J53" s="24" t="s">
        <v>42</v>
      </c>
      <c r="K53" s="24" t="s">
        <v>96</v>
      </c>
      <c r="L53" s="28"/>
      <c r="M53" s="29">
        <f t="shared" si="42"/>
        <v>13682224.239999998</v>
      </c>
      <c r="N53" s="29">
        <f t="shared" si="43"/>
        <v>2249189.25</v>
      </c>
      <c r="O53" s="29">
        <f>ROUND(G53*871.5,2)</f>
        <v>3180800.7</v>
      </c>
      <c r="P53" s="29"/>
      <c r="Q53" s="29">
        <f>ROUND(G53*596.38,2)</f>
        <v>2176667.7200000002</v>
      </c>
      <c r="R53" s="29">
        <f>ROUND(G53*589.88,2)</f>
        <v>2152944.02</v>
      </c>
      <c r="S53" s="28"/>
      <c r="T53" s="29">
        <f>ROUND(G53*1074.75,2)</f>
        <v>3922622.55</v>
      </c>
      <c r="U53" s="28"/>
      <c r="V53" s="28"/>
      <c r="W53" s="28"/>
      <c r="X53" s="28"/>
      <c r="Y53" s="28"/>
      <c r="Z53" s="28"/>
      <c r="AA53" s="29">
        <v>1124644.8</v>
      </c>
      <c r="AB53" s="29">
        <f t="shared" si="31"/>
        <v>205233.36</v>
      </c>
      <c r="AC53" s="29">
        <f t="shared" si="32"/>
        <v>15012102.399999999</v>
      </c>
      <c r="AD53" s="28"/>
      <c r="AE53" s="28"/>
      <c r="AF53" s="29">
        <f t="shared" si="33"/>
        <v>15012102.399999999</v>
      </c>
      <c r="AG53" s="24">
        <v>2024</v>
      </c>
      <c r="AH53" s="24">
        <v>2024</v>
      </c>
    </row>
    <row r="54" spans="1:34" s="31" customFormat="1" ht="109.9" customHeight="1" x14ac:dyDescent="0.35">
      <c r="A54" s="24">
        <v>39</v>
      </c>
      <c r="B54" s="26" t="s">
        <v>69</v>
      </c>
      <c r="C54" s="24" t="s">
        <v>136</v>
      </c>
      <c r="D54" s="24">
        <v>1952</v>
      </c>
      <c r="E54" s="24">
        <v>5</v>
      </c>
      <c r="F54" s="27">
        <v>3109.8</v>
      </c>
      <c r="G54" s="27">
        <f>1832.7+934.8</f>
        <v>2767.5</v>
      </c>
      <c r="H54" s="27">
        <v>1832.7</v>
      </c>
      <c r="I54" s="24">
        <v>8</v>
      </c>
      <c r="J54" s="24" t="s">
        <v>42</v>
      </c>
      <c r="K54" s="24" t="s">
        <v>96</v>
      </c>
      <c r="L54" s="28"/>
      <c r="M54" s="29">
        <f t="shared" si="42"/>
        <v>19334868.899999999</v>
      </c>
      <c r="N54" s="29">
        <f t="shared" si="43"/>
        <v>1705471.88</v>
      </c>
      <c r="O54" s="29">
        <f>ROUND(G54*3990.81,2)</f>
        <v>11044566.68</v>
      </c>
      <c r="P54" s="29"/>
      <c r="Q54" s="29">
        <f>ROUND(G54*620.83,2)</f>
        <v>1718147.03</v>
      </c>
      <c r="R54" s="29">
        <f>ROUND(G54*660.21,2)</f>
        <v>1827131.18</v>
      </c>
      <c r="S54" s="29">
        <f>ROUND(1*1197448.78,2)</f>
        <v>1197448.78</v>
      </c>
      <c r="T54" s="29">
        <f>ROUND(G54*665.62,2)</f>
        <v>1842103.35</v>
      </c>
      <c r="U54" s="28"/>
      <c r="V54" s="28"/>
      <c r="W54" s="28"/>
      <c r="X54" s="28">
        <v>1955819.93</v>
      </c>
      <c r="Y54" s="28"/>
      <c r="Z54" s="28">
        <v>3142247.18</v>
      </c>
      <c r="AA54" s="29">
        <f>1172490.4+1073566</f>
        <v>2246056.4</v>
      </c>
      <c r="AB54" s="29">
        <f t="shared" si="31"/>
        <v>366494.04</v>
      </c>
      <c r="AC54" s="29">
        <f t="shared" si="32"/>
        <v>27045486.449999996</v>
      </c>
      <c r="AD54" s="28"/>
      <c r="AE54" s="28"/>
      <c r="AF54" s="29">
        <f t="shared" si="33"/>
        <v>27045486.449999996</v>
      </c>
      <c r="AG54" s="24">
        <v>2024</v>
      </c>
      <c r="AH54" s="24">
        <v>2024</v>
      </c>
    </row>
    <row r="55" spans="1:34" ht="109.9" customHeight="1" x14ac:dyDescent="0.35">
      <c r="A55" s="24">
        <v>40</v>
      </c>
      <c r="B55" s="26" t="s">
        <v>69</v>
      </c>
      <c r="C55" s="24" t="s">
        <v>137</v>
      </c>
      <c r="D55" s="24">
        <v>1953</v>
      </c>
      <c r="E55" s="24">
        <v>6</v>
      </c>
      <c r="F55" s="27">
        <v>11255.1</v>
      </c>
      <c r="G55" s="27">
        <v>10310.4</v>
      </c>
      <c r="H55" s="27" t="s">
        <v>237</v>
      </c>
      <c r="I55" s="24" t="s">
        <v>238</v>
      </c>
      <c r="J55" s="24" t="s">
        <v>42</v>
      </c>
      <c r="K55" s="24" t="s">
        <v>96</v>
      </c>
      <c r="L55" s="28"/>
      <c r="M55" s="29">
        <f>SUM(N55:U55)</f>
        <v>59435744.25</v>
      </c>
      <c r="N55" s="29">
        <f>ROUND(G55*616.25,2)</f>
        <v>6353784</v>
      </c>
      <c r="O55" s="29">
        <f>ROUND(G55*3201.73,2)</f>
        <v>33011116.989999998</v>
      </c>
      <c r="P55" s="29"/>
      <c r="Q55" s="29">
        <f>ROUND(G55*620.83,2)</f>
        <v>6401005.6299999999</v>
      </c>
      <c r="R55" s="29">
        <f>ROUND(G55*660.21,2)</f>
        <v>6807029.1799999997</v>
      </c>
      <c r="S55" s="29"/>
      <c r="T55" s="29">
        <f>ROUND(G55*665.62,2)</f>
        <v>6862808.4500000002</v>
      </c>
      <c r="U55" s="28"/>
      <c r="V55" s="28"/>
      <c r="W55" s="28"/>
      <c r="X55" s="28"/>
      <c r="Y55" s="28"/>
      <c r="Z55" s="28"/>
      <c r="AA55" s="29">
        <v>2714532</v>
      </c>
      <c r="AB55" s="29">
        <f>ROUND((M55+V55+W55+X55+Y55+Z55)*0.015,2)</f>
        <v>891536.16</v>
      </c>
      <c r="AC55" s="29">
        <f>SUM(N55:AB55)</f>
        <v>63041812.409999996</v>
      </c>
      <c r="AD55" s="28"/>
      <c r="AE55" s="28"/>
      <c r="AF55" s="29">
        <f>AC55-(AD55+AE55)</f>
        <v>63041812.409999996</v>
      </c>
      <c r="AG55" s="24">
        <v>2024</v>
      </c>
      <c r="AH55" s="24">
        <v>2024</v>
      </c>
    </row>
    <row r="56" spans="1:34" s="12" customFormat="1" ht="109.9" customHeight="1" x14ac:dyDescent="0.35">
      <c r="A56" s="24">
        <v>41</v>
      </c>
      <c r="B56" s="23" t="s">
        <v>69</v>
      </c>
      <c r="C56" s="21" t="s">
        <v>138</v>
      </c>
      <c r="D56" s="21">
        <v>1955</v>
      </c>
      <c r="E56" s="21">
        <v>4</v>
      </c>
      <c r="F56" s="19">
        <v>2232.4</v>
      </c>
      <c r="G56" s="19">
        <v>2000.3</v>
      </c>
      <c r="H56" s="19">
        <v>929.7</v>
      </c>
      <c r="I56" s="21">
        <v>45</v>
      </c>
      <c r="J56" s="21" t="s">
        <v>42</v>
      </c>
      <c r="K56" s="21" t="s">
        <v>96</v>
      </c>
      <c r="L56" s="30"/>
      <c r="M56" s="22">
        <f t="shared" ref="M56:M59" si="44">SUM(N56:U56)</f>
        <v>5348822.2</v>
      </c>
      <c r="N56" s="22">
        <f t="shared" si="43"/>
        <v>1232684.8799999999</v>
      </c>
      <c r="O56" s="22">
        <f>ROUND(G56*871.5,2)</f>
        <v>1743261.45</v>
      </c>
      <c r="P56" s="22"/>
      <c r="Q56" s="22">
        <f t="shared" ref="Q56:Q57" si="45">ROUND(G56*596.38,2)</f>
        <v>1192938.9099999999</v>
      </c>
      <c r="R56" s="22">
        <f t="shared" ref="R56:R57" si="46">ROUND(G56*589.88,2)</f>
        <v>1179936.96</v>
      </c>
      <c r="S56" s="22"/>
      <c r="T56" s="22"/>
      <c r="U56" s="30"/>
      <c r="V56" s="30"/>
      <c r="W56" s="30"/>
      <c r="X56" s="30"/>
      <c r="Y56" s="30"/>
      <c r="Z56" s="30"/>
      <c r="AA56" s="22">
        <v>673593.6</v>
      </c>
      <c r="AB56" s="22">
        <f t="shared" si="31"/>
        <v>80232.33</v>
      </c>
      <c r="AC56" s="22">
        <f t="shared" si="32"/>
        <v>6102648.1299999999</v>
      </c>
      <c r="AD56" s="30"/>
      <c r="AE56" s="30"/>
      <c r="AF56" s="22">
        <f t="shared" si="33"/>
        <v>6102648.1299999999</v>
      </c>
      <c r="AG56" s="21">
        <v>2024</v>
      </c>
      <c r="AH56" s="21">
        <v>2024</v>
      </c>
    </row>
    <row r="57" spans="1:34" s="31" customFormat="1" ht="109.9" customHeight="1" x14ac:dyDescent="0.35">
      <c r="A57" s="24">
        <v>42</v>
      </c>
      <c r="B57" s="26" t="s">
        <v>69</v>
      </c>
      <c r="C57" s="24" t="s">
        <v>139</v>
      </c>
      <c r="D57" s="24">
        <v>1953</v>
      </c>
      <c r="E57" s="24">
        <v>4</v>
      </c>
      <c r="F57" s="27">
        <v>2167.9</v>
      </c>
      <c r="G57" s="27">
        <v>1958.8</v>
      </c>
      <c r="H57" s="27">
        <v>1646.16</v>
      </c>
      <c r="I57" s="24" t="s">
        <v>239</v>
      </c>
      <c r="J57" s="24" t="s">
        <v>45</v>
      </c>
      <c r="K57" s="24" t="s">
        <v>96</v>
      </c>
      <c r="L57" s="28"/>
      <c r="M57" s="29">
        <f t="shared" si="44"/>
        <v>15151631.399999999</v>
      </c>
      <c r="N57" s="29">
        <f t="shared" si="43"/>
        <v>1207110.5</v>
      </c>
      <c r="O57" s="29">
        <f>ROUND(G57*4857.9,2)</f>
        <v>9515654.5199999996</v>
      </c>
      <c r="P57" s="29"/>
      <c r="Q57" s="29">
        <f t="shared" si="45"/>
        <v>1168189.1399999999</v>
      </c>
      <c r="R57" s="29">
        <f t="shared" si="46"/>
        <v>1155456.94</v>
      </c>
      <c r="S57" s="28"/>
      <c r="T57" s="29">
        <f>ROUND(G57*1074.75,2)</f>
        <v>2105220.2999999998</v>
      </c>
      <c r="U57" s="28"/>
      <c r="V57" s="28"/>
      <c r="W57" s="28"/>
      <c r="X57" s="28"/>
      <c r="Y57" s="28"/>
      <c r="Z57" s="28"/>
      <c r="AA57" s="29">
        <v>958839.6</v>
      </c>
      <c r="AB57" s="29">
        <f t="shared" si="31"/>
        <v>227274.47</v>
      </c>
      <c r="AC57" s="29">
        <f t="shared" si="32"/>
        <v>16337745.469999999</v>
      </c>
      <c r="AD57" s="28"/>
      <c r="AE57" s="28"/>
      <c r="AF57" s="29">
        <f t="shared" si="33"/>
        <v>16337745.469999999</v>
      </c>
      <c r="AG57" s="24">
        <v>2024</v>
      </c>
      <c r="AH57" s="24">
        <v>2024</v>
      </c>
    </row>
    <row r="58" spans="1:34" s="31" customFormat="1" ht="109.9" customHeight="1" x14ac:dyDescent="0.35">
      <c r="A58" s="24">
        <v>43</v>
      </c>
      <c r="B58" s="26" t="s">
        <v>69</v>
      </c>
      <c r="C58" s="24" t="s">
        <v>140</v>
      </c>
      <c r="D58" s="24">
        <v>1958</v>
      </c>
      <c r="E58" s="24">
        <v>5</v>
      </c>
      <c r="F58" s="27">
        <v>3561</v>
      </c>
      <c r="G58" s="27">
        <v>3477.3</v>
      </c>
      <c r="H58" s="27">
        <v>2607.5</v>
      </c>
      <c r="I58" s="24">
        <v>71</v>
      </c>
      <c r="J58" s="24" t="s">
        <v>46</v>
      </c>
      <c r="K58" s="24" t="s">
        <v>141</v>
      </c>
      <c r="L58" s="28"/>
      <c r="M58" s="29"/>
      <c r="N58" s="28"/>
      <c r="O58" s="28"/>
      <c r="P58" s="28"/>
      <c r="Q58" s="28"/>
      <c r="R58" s="28"/>
      <c r="S58" s="28"/>
      <c r="T58" s="28"/>
      <c r="U58" s="28"/>
      <c r="V58" s="28"/>
      <c r="W58" s="29">
        <f>ROUND(G58*3855.19,2)</f>
        <v>13405652.189999999</v>
      </c>
      <c r="X58" s="28">
        <f>ROUND(G58*706.71,2)</f>
        <v>2457442.6800000002</v>
      </c>
      <c r="Y58" s="28"/>
      <c r="Z58" s="28"/>
      <c r="AA58" s="29">
        <v>1343538</v>
      </c>
      <c r="AB58" s="29">
        <f t="shared" si="31"/>
        <v>237946.42</v>
      </c>
      <c r="AC58" s="29">
        <f t="shared" si="32"/>
        <v>17444579.289999999</v>
      </c>
      <c r="AD58" s="28"/>
      <c r="AE58" s="28"/>
      <c r="AF58" s="29">
        <f t="shared" si="33"/>
        <v>17444579.289999999</v>
      </c>
      <c r="AG58" s="24">
        <v>2024</v>
      </c>
      <c r="AH58" s="24">
        <v>2024</v>
      </c>
    </row>
    <row r="59" spans="1:34" ht="109.9" customHeight="1" x14ac:dyDescent="0.35">
      <c r="A59" s="24">
        <v>44</v>
      </c>
      <c r="B59" s="26" t="s">
        <v>69</v>
      </c>
      <c r="C59" s="24" t="s">
        <v>142</v>
      </c>
      <c r="D59" s="24">
        <v>1952</v>
      </c>
      <c r="E59" s="24">
        <v>4</v>
      </c>
      <c r="F59" s="27">
        <v>4122.6000000000004</v>
      </c>
      <c r="G59" s="27">
        <v>3797.8</v>
      </c>
      <c r="H59" s="27">
        <v>3797.8</v>
      </c>
      <c r="I59" s="24" t="s">
        <v>41</v>
      </c>
      <c r="J59" s="24" t="s">
        <v>42</v>
      </c>
      <c r="K59" s="24" t="s">
        <v>96</v>
      </c>
      <c r="L59" s="28"/>
      <c r="M59" s="29">
        <f t="shared" si="44"/>
        <v>29376590.640000004</v>
      </c>
      <c r="N59" s="29">
        <f t="shared" ref="N59:N64" si="47">ROUND(G59*616.25,2)</f>
        <v>2340394.25</v>
      </c>
      <c r="O59" s="29">
        <f>ROUND(G59*4857.9,2)</f>
        <v>18449332.620000001</v>
      </c>
      <c r="P59" s="29"/>
      <c r="Q59" s="29">
        <f>ROUND(G59*596.38,2)</f>
        <v>2264931.96</v>
      </c>
      <c r="R59" s="29">
        <f>ROUND(G59*589.88,2)</f>
        <v>2240246.2599999998</v>
      </c>
      <c r="S59" s="29"/>
      <c r="T59" s="29">
        <f>ROUND(G59*1074.75,2)</f>
        <v>4081685.55</v>
      </c>
      <c r="U59" s="28"/>
      <c r="V59" s="28"/>
      <c r="W59" s="28"/>
      <c r="X59" s="29">
        <f>ROUND(G59*1954.25,2)</f>
        <v>7421850.6500000004</v>
      </c>
      <c r="Y59" s="29"/>
      <c r="Z59" s="29">
        <f>ROUND(G59*1135.41,2)</f>
        <v>4312060.0999999996</v>
      </c>
      <c r="AA59" s="29">
        <v>1161331.2</v>
      </c>
      <c r="AB59" s="29">
        <f t="shared" si="31"/>
        <v>616657.52</v>
      </c>
      <c r="AC59" s="29">
        <f t="shared" si="32"/>
        <v>42888490.110000014</v>
      </c>
      <c r="AD59" s="28"/>
      <c r="AE59" s="28"/>
      <c r="AF59" s="29">
        <f t="shared" si="33"/>
        <v>42888490.110000014</v>
      </c>
      <c r="AG59" s="24">
        <v>2024</v>
      </c>
      <c r="AH59" s="24">
        <v>2024</v>
      </c>
    </row>
    <row r="60" spans="1:34" ht="109.9" customHeight="1" x14ac:dyDescent="0.35">
      <c r="A60" s="24">
        <v>45</v>
      </c>
      <c r="B60" s="26" t="s">
        <v>69</v>
      </c>
      <c r="C60" s="24" t="s">
        <v>143</v>
      </c>
      <c r="D60" s="24">
        <v>1956</v>
      </c>
      <c r="E60" s="24">
        <v>5</v>
      </c>
      <c r="F60" s="27">
        <v>2510.9</v>
      </c>
      <c r="G60" s="27">
        <v>2323.1</v>
      </c>
      <c r="H60" s="27">
        <v>1499.4</v>
      </c>
      <c r="I60" s="24" t="s">
        <v>41</v>
      </c>
      <c r="J60" s="24" t="s">
        <v>42</v>
      </c>
      <c r="K60" s="24" t="s">
        <v>96</v>
      </c>
      <c r="L60" s="28"/>
      <c r="M60" s="29">
        <f t="shared" ref="M60:M64" si="48">SUM(N60:U60)</f>
        <v>13391835.18</v>
      </c>
      <c r="N60" s="29">
        <f t="shared" si="47"/>
        <v>1431610.38</v>
      </c>
      <c r="O60" s="29">
        <f>ROUND(G60*3201.73,2)</f>
        <v>7437938.96</v>
      </c>
      <c r="P60" s="29"/>
      <c r="Q60" s="29">
        <f>ROUND(G60*620.83,2)</f>
        <v>1442250.17</v>
      </c>
      <c r="R60" s="29">
        <f>ROUND(G60*660.21,2)</f>
        <v>1533733.85</v>
      </c>
      <c r="S60" s="28"/>
      <c r="T60" s="29">
        <f>ROUND(G60*665.62,2)</f>
        <v>1546301.82</v>
      </c>
      <c r="U60" s="28"/>
      <c r="V60" s="28"/>
      <c r="W60" s="28"/>
      <c r="X60" s="29">
        <f>ROUND(G60*706.71,2)</f>
        <v>1641758</v>
      </c>
      <c r="Y60" s="29">
        <v>7981219.1299999999</v>
      </c>
      <c r="Z60" s="29">
        <f>ROUND(G60*1135.41,2)</f>
        <v>2637670.9700000002</v>
      </c>
      <c r="AA60" s="29">
        <f>781665.6+630622.8+1275220.8</f>
        <v>2687509.2</v>
      </c>
      <c r="AB60" s="29">
        <f t="shared" si="31"/>
        <v>384787.25</v>
      </c>
      <c r="AC60" s="29">
        <f t="shared" si="32"/>
        <v>28724779.729999997</v>
      </c>
      <c r="AD60" s="28"/>
      <c r="AE60" s="28"/>
      <c r="AF60" s="29">
        <f t="shared" si="33"/>
        <v>28724779.729999997</v>
      </c>
      <c r="AG60" s="24">
        <v>2024</v>
      </c>
      <c r="AH60" s="24">
        <v>2024</v>
      </c>
    </row>
    <row r="61" spans="1:34" ht="109.9" customHeight="1" x14ac:dyDescent="0.35">
      <c r="A61" s="24">
        <v>46</v>
      </c>
      <c r="B61" s="26" t="s">
        <v>69</v>
      </c>
      <c r="C61" s="24" t="s">
        <v>144</v>
      </c>
      <c r="D61" s="24">
        <v>1953</v>
      </c>
      <c r="E61" s="24">
        <v>3</v>
      </c>
      <c r="F61" s="27">
        <v>1621.2</v>
      </c>
      <c r="G61" s="27">
        <v>1478.8</v>
      </c>
      <c r="H61" s="27">
        <v>1040</v>
      </c>
      <c r="I61" s="24" t="s">
        <v>41</v>
      </c>
      <c r="J61" s="24" t="s">
        <v>42</v>
      </c>
      <c r="K61" s="24" t="s">
        <v>96</v>
      </c>
      <c r="L61" s="28"/>
      <c r="M61" s="29">
        <f t="shared" si="48"/>
        <v>11438754.600000001</v>
      </c>
      <c r="N61" s="29">
        <f t="shared" si="47"/>
        <v>911310.5</v>
      </c>
      <c r="O61" s="29">
        <f>ROUND(G61*4857.9,2)</f>
        <v>7183862.5199999996</v>
      </c>
      <c r="P61" s="29"/>
      <c r="Q61" s="29">
        <f>ROUND(G61*596.38,2)</f>
        <v>881926.74</v>
      </c>
      <c r="R61" s="29">
        <f>ROUND(G61*589.88,2)</f>
        <v>872314.54</v>
      </c>
      <c r="S61" s="29"/>
      <c r="T61" s="29">
        <f>ROUND(G61*1074.75,2)</f>
        <v>1589340.3</v>
      </c>
      <c r="U61" s="28"/>
      <c r="V61" s="28"/>
      <c r="W61" s="28"/>
      <c r="X61" s="28"/>
      <c r="Y61" s="29">
        <v>4856541.87</v>
      </c>
      <c r="Z61" s="29">
        <f>ROUND(G61*1135.41,2)</f>
        <v>1679044.31</v>
      </c>
      <c r="AA61" s="29">
        <f>950602.8+577323.6</f>
        <v>1527926.4</v>
      </c>
      <c r="AB61" s="29">
        <f t="shared" si="31"/>
        <v>269615.11</v>
      </c>
      <c r="AC61" s="29">
        <f t="shared" si="32"/>
        <v>19771882.289999999</v>
      </c>
      <c r="AD61" s="28"/>
      <c r="AE61" s="28"/>
      <c r="AF61" s="29">
        <f t="shared" si="33"/>
        <v>19771882.289999999</v>
      </c>
      <c r="AG61" s="24">
        <v>2024</v>
      </c>
      <c r="AH61" s="24">
        <v>2024</v>
      </c>
    </row>
    <row r="62" spans="1:34" ht="109.9" customHeight="1" x14ac:dyDescent="0.35">
      <c r="A62" s="24">
        <v>47</v>
      </c>
      <c r="B62" s="26" t="s">
        <v>69</v>
      </c>
      <c r="C62" s="24" t="s">
        <v>145</v>
      </c>
      <c r="D62" s="24">
        <v>1955</v>
      </c>
      <c r="E62" s="24">
        <v>5</v>
      </c>
      <c r="F62" s="27">
        <v>7641.8</v>
      </c>
      <c r="G62" s="27">
        <v>7032.8</v>
      </c>
      <c r="H62" s="27">
        <v>4950.5</v>
      </c>
      <c r="I62" s="24">
        <v>73</v>
      </c>
      <c r="J62" s="24" t="s">
        <v>42</v>
      </c>
      <c r="K62" s="24" t="s">
        <v>96</v>
      </c>
      <c r="L62" s="28"/>
      <c r="M62" s="29">
        <f t="shared" ref="M62" si="49">SUM(N62:U62)</f>
        <v>40541560.189999998</v>
      </c>
      <c r="N62" s="29">
        <f>ROUND(G62*616.25,2)</f>
        <v>4333963</v>
      </c>
      <c r="O62" s="29">
        <f>ROUND(G62*3201.73,2)</f>
        <v>22517126.739999998</v>
      </c>
      <c r="P62" s="29"/>
      <c r="Q62" s="29">
        <f>ROUND(G62*620.83,2)</f>
        <v>4366173.22</v>
      </c>
      <c r="R62" s="29">
        <f>ROUND(G62*660.21,2)</f>
        <v>4643124.8899999997</v>
      </c>
      <c r="S62" s="29"/>
      <c r="T62" s="29">
        <f>ROUND(G62*665.62,2)</f>
        <v>4681172.34</v>
      </c>
      <c r="U62" s="28"/>
      <c r="V62" s="28"/>
      <c r="W62" s="28"/>
      <c r="X62" s="28"/>
      <c r="Y62" s="28"/>
      <c r="Z62" s="28"/>
      <c r="AA62" s="29">
        <v>1826556</v>
      </c>
      <c r="AB62" s="29">
        <f>ROUND((M62+V62+W62+X62+Y62+Z62)*0.015,2)</f>
        <v>608123.4</v>
      </c>
      <c r="AC62" s="29">
        <f>SUM(N62:AB62)</f>
        <v>42976239.589999996</v>
      </c>
      <c r="AD62" s="28"/>
      <c r="AE62" s="28"/>
      <c r="AF62" s="29">
        <f>AC62-(AD62+AE62)</f>
        <v>42976239.589999996</v>
      </c>
      <c r="AG62" s="24">
        <v>2024</v>
      </c>
      <c r="AH62" s="24">
        <v>2024</v>
      </c>
    </row>
    <row r="63" spans="1:34" ht="109.9" customHeight="1" x14ac:dyDescent="0.35">
      <c r="A63" s="24">
        <v>48</v>
      </c>
      <c r="B63" s="26" t="s">
        <v>69</v>
      </c>
      <c r="C63" s="24" t="s">
        <v>146</v>
      </c>
      <c r="D63" s="24">
        <v>1955</v>
      </c>
      <c r="E63" s="24">
        <v>4</v>
      </c>
      <c r="F63" s="27">
        <v>2690.2</v>
      </c>
      <c r="G63" s="27">
        <v>2495.5</v>
      </c>
      <c r="H63" s="27">
        <v>1850.2</v>
      </c>
      <c r="I63" s="24">
        <v>51</v>
      </c>
      <c r="J63" s="24" t="s">
        <v>42</v>
      </c>
      <c r="K63" s="24" t="s">
        <v>96</v>
      </c>
      <c r="L63" s="28"/>
      <c r="M63" s="29">
        <f t="shared" ref="M63" si="50">SUM(N63:U63)</f>
        <v>9355030.5899999999</v>
      </c>
      <c r="N63" s="29">
        <f t="shared" ref="N63" si="51">ROUND(G63*616.25,2)</f>
        <v>1537851.88</v>
      </c>
      <c r="O63" s="29">
        <f>ROUND(G63*871.5,2)</f>
        <v>2174828.25</v>
      </c>
      <c r="P63" s="29"/>
      <c r="Q63" s="29">
        <f t="shared" ref="Q63" si="52">ROUND(G63*596.38,2)</f>
        <v>1488266.29</v>
      </c>
      <c r="R63" s="29">
        <f t="shared" ref="R63" si="53">ROUND(G63*589.88,2)</f>
        <v>1472045.54</v>
      </c>
      <c r="S63" s="29"/>
      <c r="T63" s="29">
        <f t="shared" ref="T63" si="54">ROUND(G63*1074.75,2)</f>
        <v>2682038.63</v>
      </c>
      <c r="U63" s="28"/>
      <c r="V63" s="28"/>
      <c r="W63" s="28"/>
      <c r="X63" s="28"/>
      <c r="Y63" s="28"/>
      <c r="Z63" s="28"/>
      <c r="AA63" s="29">
        <v>1277401.2</v>
      </c>
      <c r="AB63" s="29">
        <f t="shared" ref="AB63" si="55">ROUND((M63+V63+W63+X63+Y63+Z63)*0.015,2)</f>
        <v>140325.46</v>
      </c>
      <c r="AC63" s="29">
        <f t="shared" ref="AC63" si="56">SUM(N63:AB63)</f>
        <v>10772757.25</v>
      </c>
      <c r="AD63" s="28"/>
      <c r="AE63" s="28"/>
      <c r="AF63" s="29">
        <f t="shared" ref="AF63" si="57">AC63-(AD63+AE63)</f>
        <v>10772757.25</v>
      </c>
      <c r="AG63" s="24">
        <v>2024</v>
      </c>
      <c r="AH63" s="24">
        <v>2024</v>
      </c>
    </row>
    <row r="64" spans="1:34" ht="109.9" customHeight="1" x14ac:dyDescent="0.35">
      <c r="A64" s="24">
        <v>49</v>
      </c>
      <c r="B64" s="26" t="s">
        <v>69</v>
      </c>
      <c r="C64" s="24" t="s">
        <v>147</v>
      </c>
      <c r="D64" s="24">
        <v>1953</v>
      </c>
      <c r="E64" s="24">
        <v>4</v>
      </c>
      <c r="F64" s="27">
        <v>1972.2</v>
      </c>
      <c r="G64" s="27">
        <v>1838.9</v>
      </c>
      <c r="H64" s="27">
        <v>1168.5999999999999</v>
      </c>
      <c r="I64" s="24">
        <v>28</v>
      </c>
      <c r="J64" s="24" t="s">
        <v>42</v>
      </c>
      <c r="K64" s="24" t="s">
        <v>96</v>
      </c>
      <c r="L64" s="28"/>
      <c r="M64" s="29">
        <f t="shared" si="48"/>
        <v>14224185.73</v>
      </c>
      <c r="N64" s="29">
        <f t="shared" si="47"/>
        <v>1133222.1299999999</v>
      </c>
      <c r="O64" s="29">
        <f>ROUND(G64*4857.9,2)</f>
        <v>8933192.3100000005</v>
      </c>
      <c r="P64" s="29"/>
      <c r="Q64" s="29">
        <f>ROUND(G64*596.38,2)</f>
        <v>1096683.18</v>
      </c>
      <c r="R64" s="29">
        <f>ROUND(G64*589.88,2)</f>
        <v>1084730.33</v>
      </c>
      <c r="S64" s="29"/>
      <c r="T64" s="29">
        <f>ROUND(G64*1074.75,2)</f>
        <v>1976357.78</v>
      </c>
      <c r="U64" s="28"/>
      <c r="V64" s="28"/>
      <c r="W64" s="28"/>
      <c r="X64" s="28"/>
      <c r="Y64" s="28"/>
      <c r="Z64" s="28"/>
      <c r="AA64" s="29">
        <v>933278.4</v>
      </c>
      <c r="AB64" s="29">
        <f t="shared" si="31"/>
        <v>213362.79</v>
      </c>
      <c r="AC64" s="29">
        <f t="shared" si="32"/>
        <v>15370826.92</v>
      </c>
      <c r="AD64" s="28"/>
      <c r="AE64" s="28"/>
      <c r="AF64" s="29">
        <f t="shared" si="33"/>
        <v>15370826.92</v>
      </c>
      <c r="AG64" s="24">
        <v>2024</v>
      </c>
      <c r="AH64" s="24">
        <v>2024</v>
      </c>
    </row>
    <row r="65" spans="1:69" s="32" customFormat="1" ht="109.9" customHeight="1" x14ac:dyDescent="0.2">
      <c r="A65" s="169" t="s">
        <v>148</v>
      </c>
      <c r="B65" s="170"/>
      <c r="C65" s="171"/>
      <c r="D65" s="21"/>
      <c r="E65" s="21"/>
      <c r="F65" s="19">
        <f>SUM(F45:F64)</f>
        <v>73244.5</v>
      </c>
      <c r="G65" s="19">
        <f>SUM(G45:G64)</f>
        <v>67412.5</v>
      </c>
      <c r="H65" s="19"/>
      <c r="I65" s="21"/>
      <c r="J65" s="21"/>
      <c r="K65" s="21"/>
      <c r="L65" s="21"/>
      <c r="M65" s="22">
        <f>SUM(M45:M64)</f>
        <v>326908163.82999998</v>
      </c>
      <c r="N65" s="22">
        <f>SUM(N45:N64)</f>
        <v>36215718.409999996</v>
      </c>
      <c r="O65" s="22">
        <f>SUM(O45:O64)</f>
        <v>169364929.36000001</v>
      </c>
      <c r="P65" s="22"/>
      <c r="Q65" s="22">
        <f>SUM(Q45:Q64)</f>
        <v>35961643.25</v>
      </c>
      <c r="R65" s="22">
        <f>SUM(R45:R64)</f>
        <v>34820815.210000001</v>
      </c>
      <c r="S65" s="22">
        <f>SUM(S45:S64)</f>
        <v>2394897.56</v>
      </c>
      <c r="T65" s="22">
        <f>SUM(T45:T64)</f>
        <v>47284936.550000004</v>
      </c>
      <c r="U65" s="22">
        <f>SUM(U45:U64)</f>
        <v>865223.49</v>
      </c>
      <c r="V65" s="22"/>
      <c r="W65" s="22">
        <f t="shared" ref="W65:AC65" si="58">SUM(W45:W64)</f>
        <v>13405652.189999999</v>
      </c>
      <c r="X65" s="22">
        <f t="shared" si="58"/>
        <v>35039573.700000003</v>
      </c>
      <c r="Y65" s="22">
        <f t="shared" si="58"/>
        <v>31007648.43</v>
      </c>
      <c r="Z65" s="22">
        <f t="shared" si="58"/>
        <v>33381394.629999999</v>
      </c>
      <c r="AA65" s="22">
        <f t="shared" si="58"/>
        <v>30080436.599999998</v>
      </c>
      <c r="AB65" s="22">
        <f t="shared" si="58"/>
        <v>6596136.4700000016</v>
      </c>
      <c r="AC65" s="22">
        <f t="shared" si="58"/>
        <v>476419005.85000002</v>
      </c>
      <c r="AD65" s="22"/>
      <c r="AE65" s="22"/>
      <c r="AF65" s="22">
        <f>SUM(AF45:AF64)</f>
        <v>476419005.85000002</v>
      </c>
      <c r="AG65" s="21">
        <v>2024</v>
      </c>
      <c r="AH65" s="21">
        <v>2024</v>
      </c>
    </row>
    <row r="66" spans="1:69" s="32" customFormat="1" ht="109.9" customHeight="1" x14ac:dyDescent="0.2">
      <c r="A66" s="154" t="s">
        <v>149</v>
      </c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6"/>
    </row>
    <row r="67" spans="1:69" ht="109.9" customHeight="1" x14ac:dyDescent="0.35">
      <c r="A67" s="21">
        <v>50</v>
      </c>
      <c r="B67" s="26" t="s">
        <v>150</v>
      </c>
      <c r="C67" s="24" t="s">
        <v>151</v>
      </c>
      <c r="D67" s="24">
        <v>1955</v>
      </c>
      <c r="E67" s="24">
        <v>5</v>
      </c>
      <c r="F67" s="27">
        <v>4191.2</v>
      </c>
      <c r="G67" s="27">
        <v>3885.4</v>
      </c>
      <c r="H67" s="27">
        <v>2625.3</v>
      </c>
      <c r="I67" s="24">
        <v>103</v>
      </c>
      <c r="J67" s="24" t="s">
        <v>42</v>
      </c>
      <c r="K67" s="24" t="s">
        <v>96</v>
      </c>
      <c r="L67" s="28"/>
      <c r="M67" s="29">
        <f>SUM(N67:U67)</f>
        <v>22397932.25</v>
      </c>
      <c r="N67" s="29">
        <f>ROUND(G67*616.25,2)</f>
        <v>2394377.75</v>
      </c>
      <c r="O67" s="29">
        <f>ROUND(G67*3201.73,2)</f>
        <v>12440001.74</v>
      </c>
      <c r="P67" s="29"/>
      <c r="Q67" s="29">
        <f>ROUND(G67*620.83,2)</f>
        <v>2412172.88</v>
      </c>
      <c r="R67" s="29">
        <f>ROUND(G67*660.21,2)</f>
        <v>2565179.9300000002</v>
      </c>
      <c r="S67" s="29"/>
      <c r="T67" s="29">
        <f>ROUND(G67*665.62,2)</f>
        <v>2586199.9500000002</v>
      </c>
      <c r="U67" s="28"/>
      <c r="V67" s="28"/>
      <c r="W67" s="28"/>
      <c r="X67" s="28"/>
      <c r="Y67" s="28"/>
      <c r="Z67" s="28"/>
      <c r="AA67" s="29">
        <v>1271794.8</v>
      </c>
      <c r="AB67" s="29">
        <f t="shared" ref="AB67:AB73" si="59">ROUND((M67+V67+W67+X67+Y67+Z67)*0.015,2)</f>
        <v>335968.98</v>
      </c>
      <c r="AC67" s="29">
        <f t="shared" ref="AC67:AC73" si="60">SUM(N67:AB67)</f>
        <v>24005696.030000001</v>
      </c>
      <c r="AD67" s="29"/>
      <c r="AE67" s="28"/>
      <c r="AF67" s="29">
        <f t="shared" ref="AF67:AF73" si="61">AC67-(AD67+AE67)</f>
        <v>24005696.030000001</v>
      </c>
      <c r="AG67" s="24">
        <v>2025</v>
      </c>
      <c r="AH67" s="24">
        <v>2025</v>
      </c>
    </row>
    <row r="68" spans="1:69" ht="109.9" customHeight="1" x14ac:dyDescent="0.35">
      <c r="A68" s="24">
        <v>51</v>
      </c>
      <c r="B68" s="26" t="s">
        <v>69</v>
      </c>
      <c r="C68" s="24" t="s">
        <v>152</v>
      </c>
      <c r="D68" s="24">
        <v>1959</v>
      </c>
      <c r="E68" s="24">
        <v>5</v>
      </c>
      <c r="F68" s="27">
        <v>5943.3</v>
      </c>
      <c r="G68" s="27">
        <f>4446.1+1014.4</f>
        <v>5460.5</v>
      </c>
      <c r="H68" s="27">
        <v>4446.1000000000004</v>
      </c>
      <c r="I68" s="24">
        <v>195</v>
      </c>
      <c r="J68" s="24" t="s">
        <v>42</v>
      </c>
      <c r="K68" s="24" t="s">
        <v>96</v>
      </c>
      <c r="L68" s="28"/>
      <c r="M68" s="29"/>
      <c r="N68" s="29"/>
      <c r="O68" s="29"/>
      <c r="P68" s="29"/>
      <c r="Q68" s="29"/>
      <c r="R68" s="29"/>
      <c r="S68" s="28"/>
      <c r="T68" s="29"/>
      <c r="U68" s="28"/>
      <c r="V68" s="28"/>
      <c r="W68" s="28"/>
      <c r="X68" s="28"/>
      <c r="Y68" s="29">
        <f>ROUND(G68*3435.59,2)</f>
        <v>18760039.199999999</v>
      </c>
      <c r="Z68" s="28"/>
      <c r="AA68" s="29">
        <v>1157372.3999999999</v>
      </c>
      <c r="AB68" s="29">
        <f t="shared" si="59"/>
        <v>281400.59000000003</v>
      </c>
      <c r="AC68" s="29">
        <f t="shared" si="60"/>
        <v>20198812.189999998</v>
      </c>
      <c r="AD68" s="29"/>
      <c r="AE68" s="28"/>
      <c r="AF68" s="29">
        <f t="shared" si="61"/>
        <v>20198812.189999998</v>
      </c>
      <c r="AG68" s="24">
        <v>2025</v>
      </c>
      <c r="AH68" s="24">
        <v>2025</v>
      </c>
    </row>
    <row r="69" spans="1:69" s="12" customFormat="1" ht="109.9" customHeight="1" x14ac:dyDescent="0.35">
      <c r="A69" s="21">
        <v>52</v>
      </c>
      <c r="B69" s="23" t="s">
        <v>69</v>
      </c>
      <c r="C69" s="21" t="s">
        <v>153</v>
      </c>
      <c r="D69" s="21">
        <v>1990</v>
      </c>
      <c r="E69" s="21">
        <v>4</v>
      </c>
      <c r="F69" s="19">
        <v>1022.3</v>
      </c>
      <c r="G69" s="19">
        <f>632.2+289.5</f>
        <v>921.7</v>
      </c>
      <c r="H69" s="19">
        <v>632.20000000000005</v>
      </c>
      <c r="I69" s="21">
        <v>21</v>
      </c>
      <c r="J69" s="21" t="s">
        <v>42</v>
      </c>
      <c r="K69" s="21" t="s">
        <v>96</v>
      </c>
      <c r="L69" s="30"/>
      <c r="M69" s="22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22">
        <f>ROUND(G69*1954.25,2)</f>
        <v>1801232.23</v>
      </c>
      <c r="Y69" s="22">
        <f>ROUND(G69*3842.27,2)</f>
        <v>3541420.26</v>
      </c>
      <c r="Z69" s="22">
        <f>ROUND(G69*1135.41,2)</f>
        <v>1046507.4</v>
      </c>
      <c r="AA69" s="22">
        <v>883184.4</v>
      </c>
      <c r="AB69" s="22">
        <f t="shared" si="59"/>
        <v>95837.4</v>
      </c>
      <c r="AC69" s="22">
        <f t="shared" si="60"/>
        <v>7368181.6900000013</v>
      </c>
      <c r="AD69" s="22"/>
      <c r="AE69" s="30"/>
      <c r="AF69" s="22">
        <f t="shared" si="61"/>
        <v>7368181.6900000013</v>
      </c>
      <c r="AG69" s="21">
        <v>2025</v>
      </c>
      <c r="AH69" s="21">
        <v>2025</v>
      </c>
    </row>
    <row r="70" spans="1:69" ht="109.9" customHeight="1" x14ac:dyDescent="0.35">
      <c r="A70" s="24">
        <v>53</v>
      </c>
      <c r="B70" s="26" t="s">
        <v>69</v>
      </c>
      <c r="C70" s="24" t="s">
        <v>154</v>
      </c>
      <c r="D70" s="24">
        <v>1960</v>
      </c>
      <c r="E70" s="24">
        <v>5</v>
      </c>
      <c r="F70" s="27">
        <v>3424.4</v>
      </c>
      <c r="G70" s="27">
        <v>3184.3</v>
      </c>
      <c r="H70" s="27">
        <v>3001.9</v>
      </c>
      <c r="I70" s="24">
        <v>147</v>
      </c>
      <c r="J70" s="24" t="s">
        <v>42</v>
      </c>
      <c r="K70" s="24" t="s">
        <v>96</v>
      </c>
      <c r="L70" s="28"/>
      <c r="M70" s="29"/>
      <c r="N70" s="28"/>
      <c r="O70" s="28"/>
      <c r="P70" s="28"/>
      <c r="Q70" s="28"/>
      <c r="R70" s="28"/>
      <c r="S70" s="28"/>
      <c r="T70" s="28"/>
      <c r="U70" s="28"/>
      <c r="V70" s="29"/>
      <c r="W70" s="29">
        <f>ROUND(G70*3855.19,2)</f>
        <v>12276081.52</v>
      </c>
      <c r="X70" s="28"/>
      <c r="Y70" s="28"/>
      <c r="Z70" s="28"/>
      <c r="AA70" s="29">
        <v>1106822.3999999999</v>
      </c>
      <c r="AB70" s="29">
        <f t="shared" si="59"/>
        <v>184141.22</v>
      </c>
      <c r="AC70" s="29">
        <f t="shared" si="60"/>
        <v>13567045.140000001</v>
      </c>
      <c r="AD70" s="29"/>
      <c r="AE70" s="28"/>
      <c r="AF70" s="29">
        <f t="shared" si="61"/>
        <v>13567045.140000001</v>
      </c>
      <c r="AG70" s="24">
        <v>2025</v>
      </c>
      <c r="AH70" s="24">
        <v>2025</v>
      </c>
    </row>
    <row r="71" spans="1:69" ht="109.9" customHeight="1" x14ac:dyDescent="0.35">
      <c r="A71" s="21">
        <v>54</v>
      </c>
      <c r="B71" s="26" t="s">
        <v>69</v>
      </c>
      <c r="C71" s="24" t="s">
        <v>155</v>
      </c>
      <c r="D71" s="24">
        <v>1959</v>
      </c>
      <c r="E71" s="24">
        <v>5</v>
      </c>
      <c r="F71" s="27">
        <v>3832.4</v>
      </c>
      <c r="G71" s="27">
        <v>3488.1</v>
      </c>
      <c r="H71" s="27">
        <v>2854.9</v>
      </c>
      <c r="I71" s="24">
        <v>92</v>
      </c>
      <c r="J71" s="24" t="s">
        <v>42</v>
      </c>
      <c r="K71" s="24" t="s">
        <v>96</v>
      </c>
      <c r="L71" s="28"/>
      <c r="M71" s="29"/>
      <c r="N71" s="28"/>
      <c r="O71" s="28"/>
      <c r="P71" s="28"/>
      <c r="Q71" s="28"/>
      <c r="R71" s="28"/>
      <c r="S71" s="28"/>
      <c r="T71" s="28"/>
      <c r="U71" s="28"/>
      <c r="V71" s="28"/>
      <c r="W71" s="29">
        <f>ROUND(G71*3855.19,2)</f>
        <v>13447288.24</v>
      </c>
      <c r="X71" s="28"/>
      <c r="Y71" s="28"/>
      <c r="Z71" s="28"/>
      <c r="AA71" s="29">
        <v>1181968.8</v>
      </c>
      <c r="AB71" s="29">
        <f t="shared" si="59"/>
        <v>201709.32</v>
      </c>
      <c r="AC71" s="29">
        <f t="shared" si="60"/>
        <v>14830966.360000001</v>
      </c>
      <c r="AD71" s="29"/>
      <c r="AE71" s="28"/>
      <c r="AF71" s="29">
        <f t="shared" si="61"/>
        <v>14830966.360000001</v>
      </c>
      <c r="AG71" s="24">
        <v>2025</v>
      </c>
      <c r="AH71" s="24">
        <v>2025</v>
      </c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33"/>
      <c r="BE71" s="33"/>
      <c r="BF71" s="33"/>
      <c r="BG71" s="33"/>
      <c r="BH71" s="33"/>
      <c r="BI71" s="33"/>
      <c r="BJ71" s="34"/>
      <c r="BK71" s="33"/>
      <c r="BL71" s="33"/>
      <c r="BM71" s="33"/>
      <c r="BN71" s="33"/>
      <c r="BO71" s="33"/>
      <c r="BP71" s="33"/>
      <c r="BQ71" s="33"/>
    </row>
    <row r="72" spans="1:69" ht="109.9" customHeight="1" x14ac:dyDescent="0.35">
      <c r="A72" s="24">
        <v>55</v>
      </c>
      <c r="B72" s="26" t="s">
        <v>69</v>
      </c>
      <c r="C72" s="24" t="s">
        <v>156</v>
      </c>
      <c r="D72" s="24">
        <v>1954</v>
      </c>
      <c r="E72" s="24">
        <v>5</v>
      </c>
      <c r="F72" s="27">
        <v>3287.3</v>
      </c>
      <c r="G72" s="27">
        <f>2186.4+696.9</f>
        <v>2883.3</v>
      </c>
      <c r="H72" s="27">
        <f>2186.4</f>
        <v>2186.4</v>
      </c>
      <c r="I72" s="24">
        <v>70</v>
      </c>
      <c r="J72" s="24" t="s">
        <v>42</v>
      </c>
      <c r="K72" s="24" t="s">
        <v>96</v>
      </c>
      <c r="L72" s="28"/>
      <c r="M72" s="29">
        <f>SUM(N72:U72)</f>
        <v>1776833.63</v>
      </c>
      <c r="N72" s="29">
        <f>ROUND(G72*616.25,2)</f>
        <v>1776833.63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9">
        <v>470856</v>
      </c>
      <c r="AB72" s="29">
        <f t="shared" si="59"/>
        <v>26652.5</v>
      </c>
      <c r="AC72" s="29">
        <f t="shared" si="60"/>
        <v>2274342.13</v>
      </c>
      <c r="AD72" s="29"/>
      <c r="AE72" s="28"/>
      <c r="AF72" s="29">
        <f t="shared" si="61"/>
        <v>2274342.13</v>
      </c>
      <c r="AG72" s="24">
        <v>2025</v>
      </c>
      <c r="AH72" s="24">
        <v>2025</v>
      </c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33"/>
      <c r="BB72" s="33"/>
      <c r="BC72" s="33"/>
      <c r="BD72" s="33"/>
      <c r="BE72" s="33"/>
      <c r="BF72" s="33"/>
      <c r="BG72" s="33"/>
      <c r="BH72" s="33"/>
      <c r="BI72" s="33"/>
      <c r="BJ72" s="34"/>
      <c r="BK72" s="33"/>
      <c r="BL72" s="33"/>
      <c r="BM72" s="33"/>
      <c r="BN72" s="33"/>
      <c r="BO72" s="33"/>
      <c r="BP72" s="33"/>
      <c r="BQ72" s="33"/>
    </row>
    <row r="73" spans="1:69" ht="109.9" customHeight="1" x14ac:dyDescent="0.35">
      <c r="A73" s="21">
        <v>56</v>
      </c>
      <c r="B73" s="26" t="s">
        <v>69</v>
      </c>
      <c r="C73" s="24" t="s">
        <v>157</v>
      </c>
      <c r="D73" s="24">
        <v>1952</v>
      </c>
      <c r="E73" s="24">
        <v>4</v>
      </c>
      <c r="F73" s="27">
        <v>2314.6</v>
      </c>
      <c r="G73" s="27">
        <v>2100.1</v>
      </c>
      <c r="H73" s="27">
        <v>1326.2</v>
      </c>
      <c r="I73" s="24">
        <v>49</v>
      </c>
      <c r="J73" s="24" t="s">
        <v>42</v>
      </c>
      <c r="K73" s="24" t="s">
        <v>96</v>
      </c>
      <c r="L73" s="28"/>
      <c r="M73" s="29">
        <f t="shared" ref="M73" si="62">SUM(N73:U73)</f>
        <v>7872770.8900000006</v>
      </c>
      <c r="N73" s="29">
        <f>ROUND(G73*616.25,2)</f>
        <v>1294186.6299999999</v>
      </c>
      <c r="O73" s="29">
        <f>ROUND(G73*871.5,2)</f>
        <v>1830237.15</v>
      </c>
      <c r="P73" s="29"/>
      <c r="Q73" s="29">
        <f>ROUND(G73*596.38,2)</f>
        <v>1252457.6399999999</v>
      </c>
      <c r="R73" s="29">
        <f>ROUND(G73*589.88,2)</f>
        <v>1238806.99</v>
      </c>
      <c r="S73" s="28"/>
      <c r="T73" s="29">
        <f>ROUND(G73*1074.75,2)</f>
        <v>2257082.48</v>
      </c>
      <c r="U73" s="29"/>
      <c r="V73" s="28"/>
      <c r="W73" s="28"/>
      <c r="X73" s="28"/>
      <c r="Y73" s="28"/>
      <c r="Z73" s="28"/>
      <c r="AA73" s="29">
        <v>947386.8</v>
      </c>
      <c r="AB73" s="29">
        <f t="shared" si="59"/>
        <v>118091.56</v>
      </c>
      <c r="AC73" s="29">
        <f t="shared" si="60"/>
        <v>8938249.2500000019</v>
      </c>
      <c r="AD73" s="29"/>
      <c r="AE73" s="28"/>
      <c r="AF73" s="29">
        <f t="shared" si="61"/>
        <v>8938249.2500000019</v>
      </c>
      <c r="AG73" s="24">
        <v>2025</v>
      </c>
      <c r="AH73" s="24">
        <v>2025</v>
      </c>
      <c r="AI73" s="35"/>
      <c r="AJ73" s="35"/>
      <c r="AK73" s="35"/>
      <c r="AL73" s="35"/>
      <c r="AM73" s="35"/>
      <c r="AN73" s="35"/>
      <c r="AO73" s="36"/>
      <c r="AP73" s="35"/>
      <c r="AQ73" s="35"/>
      <c r="AR73" s="35"/>
      <c r="AS73" s="37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8"/>
      <c r="BK73" s="35"/>
      <c r="BL73" s="35"/>
      <c r="BM73" s="35"/>
      <c r="BN73" s="35"/>
      <c r="BO73" s="35"/>
      <c r="BP73" s="35"/>
      <c r="BQ73" s="35"/>
    </row>
    <row r="74" spans="1:69" ht="109.9" customHeight="1" x14ac:dyDescent="0.35">
      <c r="A74" s="24">
        <v>57</v>
      </c>
      <c r="B74" s="26" t="s">
        <v>69</v>
      </c>
      <c r="C74" s="24" t="s">
        <v>158</v>
      </c>
      <c r="D74" s="24">
        <v>1956</v>
      </c>
      <c r="E74" s="24">
        <v>5</v>
      </c>
      <c r="F74" s="27">
        <v>6356</v>
      </c>
      <c r="G74" s="27">
        <v>5847</v>
      </c>
      <c r="H74" s="27">
        <v>4091.5</v>
      </c>
      <c r="I74" s="24">
        <v>144</v>
      </c>
      <c r="J74" s="24" t="s">
        <v>41</v>
      </c>
      <c r="K74" s="24" t="s">
        <v>96</v>
      </c>
      <c r="L74" s="28"/>
      <c r="M74" s="29">
        <f>SUM(N74:U74)</f>
        <v>18720515.309999999</v>
      </c>
      <c r="N74" s="29"/>
      <c r="O74" s="29">
        <f>ROUND(G74*3201.73,2)</f>
        <v>18720515.309999999</v>
      </c>
      <c r="P74" s="29"/>
      <c r="Q74" s="29"/>
      <c r="R74" s="29"/>
      <c r="S74" s="29"/>
      <c r="T74" s="29"/>
      <c r="U74" s="28"/>
      <c r="V74" s="28"/>
      <c r="W74" s="28"/>
      <c r="X74" s="28"/>
      <c r="Y74" s="28"/>
      <c r="Z74" s="28"/>
      <c r="AA74" s="29">
        <v>665795.19999999995</v>
      </c>
      <c r="AB74" s="29">
        <f>ROUND((M74+V74+W74+X74+Y74+Z74)*0.015,2)</f>
        <v>280807.73</v>
      </c>
      <c r="AC74" s="29">
        <f>SUM(N74:AB74)</f>
        <v>19667118.239999998</v>
      </c>
      <c r="AD74" s="28"/>
      <c r="AE74" s="28"/>
      <c r="AF74" s="29">
        <f>AC74-(AD74+AE74)</f>
        <v>19667118.239999998</v>
      </c>
      <c r="AG74" s="24">
        <v>2025</v>
      </c>
      <c r="AH74" s="24">
        <v>2025</v>
      </c>
    </row>
    <row r="75" spans="1:69" ht="109.9" customHeight="1" x14ac:dyDescent="0.35">
      <c r="A75" s="21">
        <v>58</v>
      </c>
      <c r="B75" s="26" t="s">
        <v>69</v>
      </c>
      <c r="C75" s="24" t="s">
        <v>159</v>
      </c>
      <c r="D75" s="24">
        <v>1957</v>
      </c>
      <c r="E75" s="24">
        <v>4</v>
      </c>
      <c r="F75" s="27">
        <v>2939.5</v>
      </c>
      <c r="G75" s="27">
        <v>2737</v>
      </c>
      <c r="H75" s="27" t="s">
        <v>240</v>
      </c>
      <c r="I75" s="24">
        <v>60</v>
      </c>
      <c r="J75" s="24" t="s">
        <v>42</v>
      </c>
      <c r="K75" s="24" t="s">
        <v>96</v>
      </c>
      <c r="L75" s="28"/>
      <c r="M75" s="29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9">
        <f t="shared" ref="X75" si="63">ROUND(G75*1954.25,2)</f>
        <v>5348782.25</v>
      </c>
      <c r="Y75" s="29"/>
      <c r="Z75" s="29">
        <f t="shared" ref="Z75" si="64">ROUND(G75*1135.41,2)</f>
        <v>3107617.17</v>
      </c>
      <c r="AA75" s="29">
        <v>848612.4</v>
      </c>
      <c r="AB75" s="29">
        <f>ROUND((M75+V75+W75+X75+Y75+Z75)*0.015,2)</f>
        <v>126845.99</v>
      </c>
      <c r="AC75" s="29">
        <f>SUM(N75:AB75)</f>
        <v>9431857.8100000005</v>
      </c>
      <c r="AD75" s="28"/>
      <c r="AE75" s="28"/>
      <c r="AF75" s="29">
        <f>AC75-(AD75+AE75)</f>
        <v>9431857.8100000005</v>
      </c>
      <c r="AG75" s="24">
        <v>2025</v>
      </c>
      <c r="AH75" s="24">
        <v>2025</v>
      </c>
    </row>
    <row r="76" spans="1:69" ht="109.9" customHeight="1" x14ac:dyDescent="0.35">
      <c r="A76" s="24">
        <v>59</v>
      </c>
      <c r="B76" s="26" t="s">
        <v>69</v>
      </c>
      <c r="C76" s="24" t="s">
        <v>160</v>
      </c>
      <c r="D76" s="24">
        <v>1994</v>
      </c>
      <c r="E76" s="24">
        <v>7</v>
      </c>
      <c r="F76" s="27">
        <v>4091.5</v>
      </c>
      <c r="G76" s="27">
        <v>2376.5</v>
      </c>
      <c r="H76" s="27">
        <v>3638.2</v>
      </c>
      <c r="I76" s="24">
        <v>134</v>
      </c>
      <c r="J76" s="24" t="s">
        <v>42</v>
      </c>
      <c r="K76" s="24" t="s">
        <v>96</v>
      </c>
      <c r="L76" s="28"/>
      <c r="M76" s="29"/>
      <c r="N76" s="28"/>
      <c r="O76" s="28"/>
      <c r="P76" s="28"/>
      <c r="Q76" s="28"/>
      <c r="R76" s="28"/>
      <c r="S76" s="28"/>
      <c r="T76" s="28"/>
      <c r="U76" s="28"/>
      <c r="V76" s="28"/>
      <c r="W76" s="29">
        <f>ROUND(G76*2138.99,2)</f>
        <v>5083309.74</v>
      </c>
      <c r="X76" s="28"/>
      <c r="Y76" s="28"/>
      <c r="Z76" s="28"/>
      <c r="AA76" s="29">
        <v>1142593.2</v>
      </c>
      <c r="AB76" s="29">
        <f>ROUND((M76+V76+W76+X76+Y76+Z76)*0.015,2)</f>
        <v>76249.649999999994</v>
      </c>
      <c r="AC76" s="29">
        <f>SUM(N76:AB76)</f>
        <v>6302152.5900000008</v>
      </c>
      <c r="AD76" s="28"/>
      <c r="AE76" s="28"/>
      <c r="AF76" s="29">
        <f>AC76-(AD76+AE76)</f>
        <v>6302152.5900000008</v>
      </c>
      <c r="AG76" s="24">
        <v>2025</v>
      </c>
      <c r="AH76" s="24">
        <v>2025</v>
      </c>
    </row>
    <row r="77" spans="1:69" s="12" customFormat="1" ht="109.9" customHeight="1" x14ac:dyDescent="0.35">
      <c r="A77" s="21">
        <v>60</v>
      </c>
      <c r="B77" s="23" t="s">
        <v>69</v>
      </c>
      <c r="C77" s="21" t="s">
        <v>161</v>
      </c>
      <c r="D77" s="21">
        <v>1955</v>
      </c>
      <c r="E77" s="21">
        <v>5</v>
      </c>
      <c r="F77" s="19">
        <v>4428.5</v>
      </c>
      <c r="G77" s="19">
        <v>3955.5</v>
      </c>
      <c r="H77" s="19">
        <v>1616.9</v>
      </c>
      <c r="I77" s="21">
        <v>75</v>
      </c>
      <c r="J77" s="21" t="s">
        <v>42</v>
      </c>
      <c r="K77" s="21" t="s">
        <v>141</v>
      </c>
      <c r="L77" s="30"/>
      <c r="M77" s="22">
        <f t="shared" ref="M77" si="65">SUM(N77:U77)</f>
        <v>22802033.539999999</v>
      </c>
      <c r="N77" s="22">
        <f>ROUND(G77*616.25,2)</f>
        <v>2437576.88</v>
      </c>
      <c r="O77" s="22">
        <f>ROUND(G77*3201.73,2)</f>
        <v>12664443.02</v>
      </c>
      <c r="P77" s="22"/>
      <c r="Q77" s="22">
        <f>ROUND(G77*620.83,2)</f>
        <v>2455693.0699999998</v>
      </c>
      <c r="R77" s="22">
        <f>ROUND(G77*660.21,2)</f>
        <v>2611460.66</v>
      </c>
      <c r="S77" s="22"/>
      <c r="T77" s="22">
        <f>ROUND(G77*665.62,2)</f>
        <v>2632859.91</v>
      </c>
      <c r="U77" s="30"/>
      <c r="V77" s="30"/>
      <c r="W77" s="30"/>
      <c r="X77" s="30"/>
      <c r="Y77" s="30"/>
      <c r="Z77" s="30"/>
      <c r="AA77" s="22">
        <v>1450280.4</v>
      </c>
      <c r="AB77" s="22">
        <f t="shared" ref="AB77:AB103" si="66">ROUND((M77+V77+W77+X77+Y77+Z77)*0.015,2)</f>
        <v>342030.5</v>
      </c>
      <c r="AC77" s="22">
        <f t="shared" ref="AC77:AC103" si="67">SUM(N77:AB77)</f>
        <v>24594344.439999998</v>
      </c>
      <c r="AD77" s="30"/>
      <c r="AE77" s="30"/>
      <c r="AF77" s="22">
        <f t="shared" ref="AF77:AF103" si="68">AC77-(AD77+AE77)</f>
        <v>24594344.439999998</v>
      </c>
      <c r="AG77" s="21">
        <v>2025</v>
      </c>
      <c r="AH77" s="21">
        <v>2025</v>
      </c>
    </row>
    <row r="78" spans="1:69" ht="109.9" customHeight="1" x14ac:dyDescent="0.35">
      <c r="A78" s="24">
        <v>61</v>
      </c>
      <c r="B78" s="26" t="s">
        <v>69</v>
      </c>
      <c r="C78" s="24" t="s">
        <v>162</v>
      </c>
      <c r="D78" s="24">
        <v>1950</v>
      </c>
      <c r="E78" s="24">
        <v>4</v>
      </c>
      <c r="F78" s="27">
        <v>1853.9</v>
      </c>
      <c r="G78" s="27">
        <f>1101.1+619.1</f>
        <v>1720.1999999999998</v>
      </c>
      <c r="H78" s="27">
        <v>619.1</v>
      </c>
      <c r="I78" s="24">
        <v>39</v>
      </c>
      <c r="J78" s="24" t="s">
        <v>42</v>
      </c>
      <c r="K78" s="24" t="s">
        <v>96</v>
      </c>
      <c r="L78" s="28" t="s">
        <v>44</v>
      </c>
      <c r="M78" s="29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9">
        <f>ROUND(G78*1954.251,2)</f>
        <v>3361702.57</v>
      </c>
      <c r="Y78" s="29">
        <f>ROUND(G78*6728.86*1.002,2)</f>
        <v>11598134.939999999</v>
      </c>
      <c r="Z78" s="29">
        <f>ROUND(G78*1135.41,2)</f>
        <v>1953132.28</v>
      </c>
      <c r="AA78" s="29">
        <f>768372+820137.6</f>
        <v>1588509.6</v>
      </c>
      <c r="AB78" s="29">
        <f t="shared" si="66"/>
        <v>253694.55</v>
      </c>
      <c r="AC78" s="29">
        <f t="shared" si="67"/>
        <v>18755173.940000001</v>
      </c>
      <c r="AD78" s="28"/>
      <c r="AE78" s="28"/>
      <c r="AF78" s="29">
        <f t="shared" si="68"/>
        <v>18755173.940000001</v>
      </c>
      <c r="AG78" s="24">
        <v>2025</v>
      </c>
      <c r="AH78" s="24">
        <v>2025</v>
      </c>
      <c r="AI78" s="35"/>
      <c r="AJ78" s="31"/>
      <c r="AK78" s="31"/>
      <c r="AL78" s="31"/>
      <c r="AM78" s="31"/>
      <c r="AN78" s="31"/>
      <c r="AO78" s="36"/>
      <c r="AP78" s="35"/>
      <c r="AQ78" s="35"/>
      <c r="AS78" s="39"/>
      <c r="AT78" s="2"/>
      <c r="BJ78" s="40"/>
      <c r="BK78" s="35"/>
      <c r="BL78" s="35"/>
      <c r="BM78" s="35"/>
      <c r="BN78" s="35"/>
      <c r="BO78" s="35"/>
      <c r="BP78" s="35"/>
      <c r="BQ78" s="35"/>
    </row>
    <row r="79" spans="1:69" ht="109.9" customHeight="1" x14ac:dyDescent="0.35">
      <c r="A79" s="21">
        <v>62</v>
      </c>
      <c r="B79" s="26" t="s">
        <v>69</v>
      </c>
      <c r="C79" s="24" t="s">
        <v>163</v>
      </c>
      <c r="D79" s="24">
        <v>1959</v>
      </c>
      <c r="E79" s="24">
        <v>4</v>
      </c>
      <c r="F79" s="27">
        <v>1362.9</v>
      </c>
      <c r="G79" s="27">
        <v>1267.3</v>
      </c>
      <c r="H79" s="27">
        <v>1267.3</v>
      </c>
      <c r="I79" s="24">
        <v>32</v>
      </c>
      <c r="J79" s="24" t="s">
        <v>42</v>
      </c>
      <c r="K79" s="24" t="s">
        <v>96</v>
      </c>
      <c r="L79" s="28"/>
      <c r="M79" s="29"/>
      <c r="N79" s="28"/>
      <c r="O79" s="28"/>
      <c r="P79" s="28"/>
      <c r="Q79" s="28"/>
      <c r="R79" s="28"/>
      <c r="S79" s="28"/>
      <c r="T79" s="28"/>
      <c r="U79" s="28"/>
      <c r="V79" s="28"/>
      <c r="W79" s="29">
        <f>ROUND(G79*5975.33,2)</f>
        <v>7572535.71</v>
      </c>
      <c r="X79" s="28"/>
      <c r="Y79" s="28"/>
      <c r="Z79" s="28"/>
      <c r="AA79" s="29">
        <v>727611.6</v>
      </c>
      <c r="AB79" s="29">
        <f>ROUND((M79+V79+W79+X79+Y79+Z79)*0.015,2)</f>
        <v>113588.04</v>
      </c>
      <c r="AC79" s="29">
        <f>SUM(N79:AB79)</f>
        <v>8413735.3499999996</v>
      </c>
      <c r="AD79" s="28"/>
      <c r="AE79" s="28"/>
      <c r="AF79" s="29">
        <f>AC79-(AD79+AE79)</f>
        <v>8413735.3499999996</v>
      </c>
      <c r="AG79" s="24">
        <v>2025</v>
      </c>
      <c r="AH79" s="24">
        <v>2025</v>
      </c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41"/>
      <c r="BK79" s="31"/>
      <c r="BL79" s="31"/>
      <c r="BM79" s="31"/>
      <c r="BN79" s="31"/>
      <c r="BO79" s="31"/>
      <c r="BP79" s="31"/>
      <c r="BQ79" s="31"/>
    </row>
    <row r="80" spans="1:69" ht="109.9" customHeight="1" x14ac:dyDescent="0.35">
      <c r="A80" s="24">
        <v>63</v>
      </c>
      <c r="B80" s="26" t="s">
        <v>69</v>
      </c>
      <c r="C80" s="24" t="s">
        <v>164</v>
      </c>
      <c r="D80" s="24">
        <v>1960</v>
      </c>
      <c r="E80" s="24">
        <v>5</v>
      </c>
      <c r="F80" s="27">
        <v>1792.6</v>
      </c>
      <c r="G80" s="27">
        <v>1671.8</v>
      </c>
      <c r="H80" s="27">
        <v>1595.5</v>
      </c>
      <c r="I80" s="24">
        <v>68</v>
      </c>
      <c r="J80" s="24" t="s">
        <v>42</v>
      </c>
      <c r="K80" s="24" t="s">
        <v>96</v>
      </c>
      <c r="L80" s="28"/>
      <c r="M80" s="29"/>
      <c r="N80" s="28"/>
      <c r="O80" s="28"/>
      <c r="P80" s="28"/>
      <c r="Q80" s="28"/>
      <c r="R80" s="28"/>
      <c r="S80" s="28"/>
      <c r="T80" s="28"/>
      <c r="U80" s="28"/>
      <c r="V80" s="28"/>
      <c r="W80" s="29">
        <f>ROUND(G80*3855.19,2)</f>
        <v>6445106.6399999997</v>
      </c>
      <c r="X80" s="28"/>
      <c r="Y80" s="28"/>
      <c r="Z80" s="28"/>
      <c r="AA80" s="29">
        <v>979496.4</v>
      </c>
      <c r="AB80" s="29">
        <f t="shared" ref="AB80:AB81" si="69">ROUND((M80+V80+W80+X80+Y80+Z80)*0.015,2)</f>
        <v>96676.6</v>
      </c>
      <c r="AC80" s="29">
        <f t="shared" ref="AC80:AC81" si="70">SUM(N80:AB80)</f>
        <v>7521279.6399999997</v>
      </c>
      <c r="AD80" s="28"/>
      <c r="AE80" s="28"/>
      <c r="AF80" s="29">
        <f t="shared" ref="AF80:AF81" si="71">AC80-(AD80+AE80)</f>
        <v>7521279.6399999997</v>
      </c>
      <c r="AG80" s="24">
        <v>2025</v>
      </c>
      <c r="AH80" s="24">
        <v>2025</v>
      </c>
    </row>
    <row r="81" spans="1:69" ht="109.9" customHeight="1" x14ac:dyDescent="0.35">
      <c r="A81" s="21">
        <v>64</v>
      </c>
      <c r="B81" s="26" t="s">
        <v>69</v>
      </c>
      <c r="C81" s="24" t="s">
        <v>165</v>
      </c>
      <c r="D81" s="24">
        <v>1960</v>
      </c>
      <c r="E81" s="24">
        <v>5</v>
      </c>
      <c r="F81" s="27">
        <v>1740</v>
      </c>
      <c r="G81" s="27">
        <v>1617.4</v>
      </c>
      <c r="H81" s="27">
        <v>1617.4</v>
      </c>
      <c r="I81" s="24">
        <v>77</v>
      </c>
      <c r="J81" s="24" t="s">
        <v>42</v>
      </c>
      <c r="K81" s="24" t="s">
        <v>96</v>
      </c>
      <c r="L81" s="28"/>
      <c r="M81" s="29"/>
      <c r="N81" s="28"/>
      <c r="O81" s="28"/>
      <c r="P81" s="28"/>
      <c r="Q81" s="28"/>
      <c r="R81" s="28"/>
      <c r="S81" s="28"/>
      <c r="T81" s="28"/>
      <c r="U81" s="28"/>
      <c r="V81" s="28"/>
      <c r="W81" s="29">
        <f>ROUND(G81*3855.19,2)</f>
        <v>6235384.3099999996</v>
      </c>
      <c r="X81" s="28"/>
      <c r="Y81" s="28"/>
      <c r="Z81" s="28"/>
      <c r="AA81" s="29">
        <v>967886.4</v>
      </c>
      <c r="AB81" s="29">
        <f t="shared" si="69"/>
        <v>93530.76</v>
      </c>
      <c r="AC81" s="29">
        <f t="shared" si="70"/>
        <v>7296801.4699999997</v>
      </c>
      <c r="AD81" s="28"/>
      <c r="AE81" s="28"/>
      <c r="AF81" s="29">
        <f t="shared" si="71"/>
        <v>7296801.4699999997</v>
      </c>
      <c r="AG81" s="24">
        <v>2025</v>
      </c>
      <c r="AH81" s="24">
        <v>2025</v>
      </c>
    </row>
    <row r="82" spans="1:69" ht="109.9" customHeight="1" x14ac:dyDescent="0.35">
      <c r="A82" s="24">
        <v>65</v>
      </c>
      <c r="B82" s="26" t="s">
        <v>69</v>
      </c>
      <c r="C82" s="24" t="s">
        <v>166</v>
      </c>
      <c r="D82" s="24">
        <v>1955</v>
      </c>
      <c r="E82" s="24">
        <v>5</v>
      </c>
      <c r="F82" s="27">
        <v>3563.5</v>
      </c>
      <c r="G82" s="27">
        <v>3202.7</v>
      </c>
      <c r="H82" s="27">
        <v>2277.1999999999998</v>
      </c>
      <c r="I82" s="24">
        <v>50</v>
      </c>
      <c r="J82" s="24" t="s">
        <v>42</v>
      </c>
      <c r="K82" s="24" t="s">
        <v>96</v>
      </c>
      <c r="L82" s="28"/>
      <c r="M82" s="29">
        <f>SUM(N82:U82)</f>
        <v>18462412.530000001</v>
      </c>
      <c r="N82" s="29">
        <f>ROUND(G82*616.25,2)</f>
        <v>1973663.88</v>
      </c>
      <c r="O82" s="29">
        <f>ROUND(G82*3201.73,2)</f>
        <v>10254180.67</v>
      </c>
      <c r="P82" s="29"/>
      <c r="Q82" s="29">
        <f>ROUND(G82*620.83,2)</f>
        <v>1988332.24</v>
      </c>
      <c r="R82" s="29">
        <f>ROUND(G82*660.21,2)</f>
        <v>2114454.5699999998</v>
      </c>
      <c r="S82" s="29"/>
      <c r="T82" s="29">
        <f>ROUND(G82*665.62,2)</f>
        <v>2131781.17</v>
      </c>
      <c r="U82" s="28"/>
      <c r="V82" s="28"/>
      <c r="W82" s="28"/>
      <c r="X82" s="28"/>
      <c r="Y82" s="28"/>
      <c r="Z82" s="28"/>
      <c r="AA82" s="29">
        <v>1234220.3999999999</v>
      </c>
      <c r="AB82" s="29">
        <f>ROUND((M82+V82+W82+X82+Y82+Z82)*0.015,2)</f>
        <v>276936.19</v>
      </c>
      <c r="AC82" s="29">
        <f>SUM(N82:AB82)</f>
        <v>19973569.120000001</v>
      </c>
      <c r="AD82" s="28"/>
      <c r="AE82" s="28"/>
      <c r="AF82" s="29">
        <f>AC82-(AD82+AE82)</f>
        <v>19973569.120000001</v>
      </c>
      <c r="AG82" s="24">
        <v>2025</v>
      </c>
      <c r="AH82" s="24">
        <v>2025</v>
      </c>
    </row>
    <row r="83" spans="1:69" ht="109.9" customHeight="1" x14ac:dyDescent="0.35">
      <c r="A83" s="21">
        <v>66</v>
      </c>
      <c r="B83" s="26" t="s">
        <v>69</v>
      </c>
      <c r="C83" s="24" t="s">
        <v>167</v>
      </c>
      <c r="D83" s="24">
        <v>1958</v>
      </c>
      <c r="E83" s="24">
        <v>5</v>
      </c>
      <c r="F83" s="27">
        <v>6785.2</v>
      </c>
      <c r="G83" s="27">
        <v>6293.3</v>
      </c>
      <c r="H83" s="27" t="s">
        <v>241</v>
      </c>
      <c r="I83" s="24">
        <v>128</v>
      </c>
      <c r="J83" s="24" t="s">
        <v>42</v>
      </c>
      <c r="K83" s="24" t="s">
        <v>141</v>
      </c>
      <c r="L83" s="28"/>
      <c r="M83" s="29"/>
      <c r="N83" s="28"/>
      <c r="O83" s="28"/>
      <c r="P83" s="28"/>
      <c r="Q83" s="28"/>
      <c r="R83" s="28"/>
      <c r="S83" s="28"/>
      <c r="T83" s="28"/>
      <c r="U83" s="28"/>
      <c r="V83" s="28"/>
      <c r="W83" s="29">
        <f>ROUND(G83*3855.19,2)</f>
        <v>24261867.23</v>
      </c>
      <c r="X83" s="29"/>
      <c r="Y83" s="29"/>
      <c r="Z83" s="29"/>
      <c r="AA83" s="29">
        <v>1446368.4</v>
      </c>
      <c r="AB83" s="29">
        <f>ROUND((M83+V83+W83+X83+Y83+Z83)*0.015,2)</f>
        <v>363928.01</v>
      </c>
      <c r="AC83" s="29">
        <f>SUM(N83:AB83)</f>
        <v>26072163.640000001</v>
      </c>
      <c r="AD83" s="28"/>
      <c r="AE83" s="28"/>
      <c r="AF83" s="29">
        <f>AC83-(AD83+AE83)</f>
        <v>26072163.640000001</v>
      </c>
      <c r="AG83" s="24">
        <v>2025</v>
      </c>
      <c r="AH83" s="24">
        <v>2025</v>
      </c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J83" s="40"/>
    </row>
    <row r="84" spans="1:69" ht="109.9" customHeight="1" x14ac:dyDescent="0.35">
      <c r="A84" s="24">
        <v>67</v>
      </c>
      <c r="B84" s="26" t="s">
        <v>69</v>
      </c>
      <c r="C84" s="24" t="s">
        <v>168</v>
      </c>
      <c r="D84" s="24">
        <v>1959</v>
      </c>
      <c r="E84" s="24">
        <v>5</v>
      </c>
      <c r="F84" s="27">
        <v>6636.8</v>
      </c>
      <c r="G84" s="27">
        <v>6047.4</v>
      </c>
      <c r="H84" s="27">
        <v>4352.3</v>
      </c>
      <c r="I84" s="24">
        <v>150</v>
      </c>
      <c r="J84" s="24" t="s">
        <v>42</v>
      </c>
      <c r="K84" s="24" t="s">
        <v>96</v>
      </c>
      <c r="L84" s="28"/>
      <c r="M84" s="29"/>
      <c r="N84" s="28"/>
      <c r="O84" s="28"/>
      <c r="P84" s="28"/>
      <c r="Q84" s="28"/>
      <c r="R84" s="28"/>
      <c r="S84" s="28"/>
      <c r="T84" s="28"/>
      <c r="U84" s="28"/>
      <c r="V84" s="28"/>
      <c r="W84" s="29">
        <f>ROUND(G84*3855.19,2)</f>
        <v>23313876.010000002</v>
      </c>
      <c r="X84" s="28"/>
      <c r="Y84" s="28"/>
      <c r="Z84" s="28"/>
      <c r="AA84" s="29">
        <v>1417458</v>
      </c>
      <c r="AB84" s="29">
        <f>ROUND((M84+V84+W84+X84+Y84+Z84)*0.015,2)</f>
        <v>349708.14</v>
      </c>
      <c r="AC84" s="29">
        <f>SUM(N84:AB84)</f>
        <v>25081042.150000002</v>
      </c>
      <c r="AD84" s="28"/>
      <c r="AE84" s="28"/>
      <c r="AF84" s="29">
        <f>AC84-(AD84+AE84)</f>
        <v>25081042.150000002</v>
      </c>
      <c r="AG84" s="24">
        <v>2025</v>
      </c>
      <c r="AH84" s="24">
        <v>2025</v>
      </c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</row>
    <row r="85" spans="1:69" ht="109.9" customHeight="1" x14ac:dyDescent="0.35">
      <c r="A85" s="21">
        <v>68</v>
      </c>
      <c r="B85" s="26" t="s">
        <v>69</v>
      </c>
      <c r="C85" s="24" t="s">
        <v>169</v>
      </c>
      <c r="D85" s="24">
        <v>1950</v>
      </c>
      <c r="E85" s="24">
        <v>5</v>
      </c>
      <c r="F85" s="27">
        <v>3366.6</v>
      </c>
      <c r="G85" s="27">
        <v>3131.3</v>
      </c>
      <c r="H85" s="27">
        <v>2081.81</v>
      </c>
      <c r="I85" s="24">
        <v>66</v>
      </c>
      <c r="J85" s="24" t="s">
        <v>42</v>
      </c>
      <c r="K85" s="24" t="s">
        <v>96</v>
      </c>
      <c r="L85" s="28"/>
      <c r="M85" s="29">
        <f t="shared" ref="M85:M100" si="72">SUM(N85:U85)</f>
        <v>1058723.8400000001</v>
      </c>
      <c r="N85" s="28"/>
      <c r="O85" s="28"/>
      <c r="P85" s="28"/>
      <c r="Q85" s="28"/>
      <c r="R85" s="28"/>
      <c r="S85" s="28"/>
      <c r="T85" s="28"/>
      <c r="U85" s="29">
        <f t="shared" ref="U85" si="73">ROUND(G85*338.11,2)</f>
        <v>1058723.8400000001</v>
      </c>
      <c r="V85" s="28"/>
      <c r="W85" s="28"/>
      <c r="X85" s="29">
        <f>ROUND(G85*706.71,2)</f>
        <v>2212921.02</v>
      </c>
      <c r="Y85" s="29">
        <f>ROUND(G85*3435.59,2)</f>
        <v>10757862.970000001</v>
      </c>
      <c r="Z85" s="29">
        <f>ROUND(G85*1135.41,2)</f>
        <v>3555309.33</v>
      </c>
      <c r="AA85" s="29">
        <v>1785334.8</v>
      </c>
      <c r="AB85" s="29">
        <f t="shared" si="66"/>
        <v>263772.26</v>
      </c>
      <c r="AC85" s="29">
        <f t="shared" si="67"/>
        <v>19633924.220000006</v>
      </c>
      <c r="AD85" s="28"/>
      <c r="AE85" s="28"/>
      <c r="AF85" s="29">
        <f t="shared" si="68"/>
        <v>19633924.220000006</v>
      </c>
      <c r="AG85" s="24">
        <v>2025</v>
      </c>
      <c r="AH85" s="24">
        <v>2025</v>
      </c>
      <c r="AI85" s="159"/>
      <c r="AJ85" s="159"/>
      <c r="AK85" s="159"/>
      <c r="AL85" s="159"/>
      <c r="AM85" s="159"/>
      <c r="AN85" s="159"/>
      <c r="AO85" s="159"/>
      <c r="AP85" s="159"/>
      <c r="AQ85" s="159"/>
      <c r="AS85" s="39"/>
      <c r="AT85" s="2"/>
      <c r="BJ85" s="40"/>
      <c r="BK85" s="35"/>
      <c r="BL85" s="35"/>
      <c r="BM85" s="35"/>
      <c r="BN85" s="35"/>
      <c r="BO85" s="35"/>
      <c r="BP85" s="35"/>
      <c r="BQ85" s="35"/>
    </row>
    <row r="86" spans="1:69" ht="109.9" customHeight="1" x14ac:dyDescent="0.35">
      <c r="A86" s="24">
        <v>69</v>
      </c>
      <c r="B86" s="26" t="s">
        <v>69</v>
      </c>
      <c r="C86" s="24" t="s">
        <v>170</v>
      </c>
      <c r="D86" s="24">
        <v>1967</v>
      </c>
      <c r="E86" s="24">
        <v>5</v>
      </c>
      <c r="F86" s="27">
        <v>3527.3</v>
      </c>
      <c r="G86" s="27">
        <v>3269</v>
      </c>
      <c r="H86" s="27" t="s">
        <v>242</v>
      </c>
      <c r="I86" s="24" t="s">
        <v>243</v>
      </c>
      <c r="J86" s="24" t="s">
        <v>42</v>
      </c>
      <c r="K86" s="24" t="s">
        <v>96</v>
      </c>
      <c r="L86" s="28"/>
      <c r="M86" s="29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9">
        <f t="shared" ref="Y86:Y87" si="74">ROUND(G86*3435.59,2)</f>
        <v>11230943.710000001</v>
      </c>
      <c r="Z86" s="28"/>
      <c r="AA86" s="29">
        <v>678650.4</v>
      </c>
      <c r="AB86" s="29">
        <f>ROUND((M86+V86+W86+X86+Y86+Z86)*0.015,2)</f>
        <v>168464.16</v>
      </c>
      <c r="AC86" s="29">
        <f>SUM(N86:AB86)</f>
        <v>12078058.270000001</v>
      </c>
      <c r="AD86" s="28"/>
      <c r="AE86" s="28"/>
      <c r="AF86" s="29">
        <f>AC86-(AD86+AE86)</f>
        <v>12078058.270000001</v>
      </c>
      <c r="AG86" s="24">
        <v>2025</v>
      </c>
      <c r="AH86" s="24">
        <v>2025</v>
      </c>
    </row>
    <row r="87" spans="1:69" ht="109.9" customHeight="1" x14ac:dyDescent="0.35">
      <c r="A87" s="21">
        <v>70</v>
      </c>
      <c r="B87" s="26" t="s">
        <v>69</v>
      </c>
      <c r="C87" s="24" t="s">
        <v>171</v>
      </c>
      <c r="D87" s="24">
        <v>1966</v>
      </c>
      <c r="E87" s="24">
        <v>5</v>
      </c>
      <c r="F87" s="27">
        <v>6253.8</v>
      </c>
      <c r="G87" s="27">
        <v>5873.3</v>
      </c>
      <c r="H87" s="27" t="s">
        <v>244</v>
      </c>
      <c r="I87" s="24" t="s">
        <v>245</v>
      </c>
      <c r="J87" s="24" t="s">
        <v>42</v>
      </c>
      <c r="K87" s="24" t="s">
        <v>96</v>
      </c>
      <c r="L87" s="28"/>
      <c r="M87" s="29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9">
        <f t="shared" si="74"/>
        <v>20178250.75</v>
      </c>
      <c r="Z87" s="28"/>
      <c r="AA87" s="29">
        <v>854008.8</v>
      </c>
      <c r="AB87" s="29">
        <f>ROUND((M87+V87+W87+X87+Y87+Z87)*0.015,2)</f>
        <v>302673.76</v>
      </c>
      <c r="AC87" s="29">
        <f>SUM(N87:AB87)</f>
        <v>21334933.310000002</v>
      </c>
      <c r="AD87" s="28"/>
      <c r="AE87" s="28"/>
      <c r="AF87" s="29">
        <f>AC87-(AD87+AE87)</f>
        <v>21334933.310000002</v>
      </c>
      <c r="AG87" s="24">
        <v>2025</v>
      </c>
      <c r="AH87" s="24">
        <v>2025</v>
      </c>
    </row>
    <row r="88" spans="1:69" ht="109.9" customHeight="1" x14ac:dyDescent="0.35">
      <c r="A88" s="24">
        <v>71</v>
      </c>
      <c r="B88" s="26" t="s">
        <v>69</v>
      </c>
      <c r="C88" s="24" t="s">
        <v>172</v>
      </c>
      <c r="D88" s="24">
        <v>1978</v>
      </c>
      <c r="E88" s="24">
        <v>9</v>
      </c>
      <c r="F88" s="27">
        <v>4826.2</v>
      </c>
      <c r="G88" s="27">
        <f>3852.9+370.9</f>
        <v>4223.8</v>
      </c>
      <c r="H88" s="27">
        <v>3852.9</v>
      </c>
      <c r="I88" s="24">
        <v>169</v>
      </c>
      <c r="J88" s="24" t="s">
        <v>42</v>
      </c>
      <c r="K88" s="24" t="s">
        <v>96</v>
      </c>
      <c r="L88" s="28"/>
      <c r="M88" s="29">
        <f>SUM(N88:U88)</f>
        <v>4756260.67</v>
      </c>
      <c r="N88" s="28"/>
      <c r="O88" s="28"/>
      <c r="P88" s="28"/>
      <c r="Q88" s="29">
        <f>ROUND(G88*635.88,2)</f>
        <v>2685829.94</v>
      </c>
      <c r="R88" s="29"/>
      <c r="S88" s="29"/>
      <c r="T88" s="29">
        <f>ROUND(G88*490.182,2)</f>
        <v>2070430.73</v>
      </c>
      <c r="U88" s="28"/>
      <c r="V88" s="28"/>
      <c r="W88" s="28"/>
      <c r="X88" s="28"/>
      <c r="Y88" s="29"/>
      <c r="Z88" s="28"/>
      <c r="AA88" s="29">
        <v>1826784</v>
      </c>
      <c r="AB88" s="29">
        <f>ROUND((M88+V88+W88+X88+Y88+Z88)*0.015,2)</f>
        <v>71343.91</v>
      </c>
      <c r="AC88" s="29">
        <f>SUM(N88:AB88)</f>
        <v>6654388.5800000001</v>
      </c>
      <c r="AD88" s="28"/>
      <c r="AE88" s="28"/>
      <c r="AF88" s="29">
        <f>AC88-(AD88+AE88)</f>
        <v>6654388.5800000001</v>
      </c>
      <c r="AG88" s="24">
        <v>2025</v>
      </c>
      <c r="AH88" s="24">
        <v>2025</v>
      </c>
      <c r="AI88" s="159"/>
      <c r="AJ88" s="159"/>
      <c r="AK88" s="159"/>
      <c r="AL88" s="159"/>
      <c r="AM88" s="35"/>
      <c r="AN88" s="35"/>
      <c r="AO88" s="42"/>
      <c r="AP88" s="4"/>
      <c r="AQ88" s="31"/>
      <c r="AR88" s="31"/>
      <c r="AS88" s="37"/>
      <c r="AT88" s="35"/>
      <c r="AU88" s="31"/>
      <c r="AV88" s="31"/>
      <c r="AW88" s="31"/>
      <c r="AX88" s="31"/>
      <c r="AY88" s="31"/>
      <c r="AZ88" s="31"/>
      <c r="BA88" s="31"/>
      <c r="BB88" s="31"/>
      <c r="BJ88" s="40"/>
    </row>
    <row r="89" spans="1:69" ht="109.9" customHeight="1" x14ac:dyDescent="0.35">
      <c r="A89" s="21">
        <v>72</v>
      </c>
      <c r="B89" s="26" t="s">
        <v>69</v>
      </c>
      <c r="C89" s="24" t="s">
        <v>173</v>
      </c>
      <c r="D89" s="24">
        <v>1959</v>
      </c>
      <c r="E89" s="24">
        <v>4</v>
      </c>
      <c r="F89" s="27">
        <v>1436.7</v>
      </c>
      <c r="G89" s="27">
        <v>1320.7</v>
      </c>
      <c r="H89" s="27">
        <v>985.3</v>
      </c>
      <c r="I89" s="24">
        <v>21</v>
      </c>
      <c r="J89" s="24" t="s">
        <v>42</v>
      </c>
      <c r="K89" s="24" t="s">
        <v>96</v>
      </c>
      <c r="L89" s="28"/>
      <c r="M89" s="29"/>
      <c r="N89" s="28"/>
      <c r="O89" s="28"/>
      <c r="P89" s="28"/>
      <c r="Q89" s="28"/>
      <c r="R89" s="28"/>
      <c r="S89" s="28"/>
      <c r="T89" s="28"/>
      <c r="U89" s="28"/>
      <c r="V89" s="28"/>
      <c r="W89" s="29">
        <f>ROUND(G89*5975.33,2)</f>
        <v>7891618.3300000001</v>
      </c>
      <c r="X89" s="28"/>
      <c r="Y89" s="28"/>
      <c r="Z89" s="28"/>
      <c r="AA89" s="29">
        <v>732859.2</v>
      </c>
      <c r="AB89" s="29">
        <f>ROUND((M89+V89+W89+X89+Y89+Z89)*0.015,2)</f>
        <v>118374.27</v>
      </c>
      <c r="AC89" s="29">
        <f>SUM(N89:AB89)</f>
        <v>8742851.7999999989</v>
      </c>
      <c r="AD89" s="28"/>
      <c r="AE89" s="28"/>
      <c r="AF89" s="29">
        <f>AC89-(AD89+AE89)</f>
        <v>8742851.7999999989</v>
      </c>
      <c r="AG89" s="24">
        <v>2025</v>
      </c>
      <c r="AH89" s="24">
        <v>2025</v>
      </c>
    </row>
    <row r="90" spans="1:69" ht="109.9" customHeight="1" x14ac:dyDescent="0.35">
      <c r="A90" s="24">
        <v>73</v>
      </c>
      <c r="B90" s="26" t="s">
        <v>69</v>
      </c>
      <c r="C90" s="24" t="s">
        <v>174</v>
      </c>
      <c r="D90" s="24">
        <v>1973</v>
      </c>
      <c r="E90" s="24">
        <v>5</v>
      </c>
      <c r="F90" s="27">
        <v>4163.2</v>
      </c>
      <c r="G90" s="27">
        <v>3839.4</v>
      </c>
      <c r="H90" s="27" t="s">
        <v>246</v>
      </c>
      <c r="I90" s="24">
        <v>163</v>
      </c>
      <c r="J90" s="24" t="s">
        <v>46</v>
      </c>
      <c r="K90" s="24" t="s">
        <v>96</v>
      </c>
      <c r="L90" s="28"/>
      <c r="M90" s="29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9">
        <f>ROUND(G90*706.71,2)</f>
        <v>2713342.37</v>
      </c>
      <c r="Y90" s="29">
        <f>ROUND(G90*3435.59,2)</f>
        <v>13190604.25</v>
      </c>
      <c r="Z90" s="29">
        <f>ROUND(G90*1135.41,2)</f>
        <v>4359293.1500000004</v>
      </c>
      <c r="AA90" s="29">
        <v>1471219.2</v>
      </c>
      <c r="AB90" s="29">
        <f t="shared" si="66"/>
        <v>303948.59999999998</v>
      </c>
      <c r="AC90" s="29">
        <f t="shared" si="67"/>
        <v>22038407.570000004</v>
      </c>
      <c r="AD90" s="28"/>
      <c r="AE90" s="28"/>
      <c r="AF90" s="29">
        <f t="shared" si="68"/>
        <v>22038407.570000004</v>
      </c>
      <c r="AG90" s="24">
        <v>2025</v>
      </c>
      <c r="AH90" s="24">
        <v>2025</v>
      </c>
      <c r="AI90" s="157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J90" s="40"/>
      <c r="BK90" s="31"/>
      <c r="BL90" s="31"/>
      <c r="BM90" s="31"/>
      <c r="BN90" s="31"/>
      <c r="BO90" s="35"/>
      <c r="BP90" s="35"/>
      <c r="BQ90" s="35"/>
    </row>
    <row r="91" spans="1:69" ht="109.9" customHeight="1" x14ac:dyDescent="0.35">
      <c r="A91" s="21">
        <v>74</v>
      </c>
      <c r="B91" s="26" t="s">
        <v>69</v>
      </c>
      <c r="C91" s="24" t="s">
        <v>175</v>
      </c>
      <c r="D91" s="24">
        <v>1975</v>
      </c>
      <c r="E91" s="24">
        <v>5</v>
      </c>
      <c r="F91" s="27">
        <v>5577.6</v>
      </c>
      <c r="G91" s="27">
        <v>5178.1000000000004</v>
      </c>
      <c r="H91" s="27" t="s">
        <v>247</v>
      </c>
      <c r="I91" s="24">
        <v>209</v>
      </c>
      <c r="J91" s="24" t="s">
        <v>42</v>
      </c>
      <c r="K91" s="24" t="s">
        <v>96</v>
      </c>
      <c r="L91" s="28"/>
      <c r="M91" s="29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9">
        <f>ROUND(G91*706.71,2)</f>
        <v>3659415.05</v>
      </c>
      <c r="Y91" s="29">
        <f>ROUND(G91*3435.59,2)</f>
        <v>17789828.579999998</v>
      </c>
      <c r="Z91" s="29">
        <f>ROUND(G91*1135.41,2)</f>
        <v>5879266.5199999996</v>
      </c>
      <c r="AA91" s="29">
        <v>1626180</v>
      </c>
      <c r="AB91" s="29">
        <f t="shared" si="66"/>
        <v>409927.65</v>
      </c>
      <c r="AC91" s="29">
        <f t="shared" si="67"/>
        <v>29364617.799999997</v>
      </c>
      <c r="AD91" s="28"/>
      <c r="AE91" s="28"/>
      <c r="AF91" s="29">
        <f t="shared" si="68"/>
        <v>29364617.799999997</v>
      </c>
      <c r="AG91" s="24">
        <v>2025</v>
      </c>
      <c r="AH91" s="24">
        <v>2025</v>
      </c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40"/>
      <c r="BK91" s="31"/>
      <c r="BL91" s="31"/>
      <c r="BM91" s="31"/>
      <c r="BN91" s="31"/>
      <c r="BO91" s="35"/>
      <c r="BP91" s="35"/>
      <c r="BQ91" s="35"/>
    </row>
    <row r="92" spans="1:69" ht="109.9" customHeight="1" x14ac:dyDescent="0.35">
      <c r="A92" s="24">
        <v>75</v>
      </c>
      <c r="B92" s="26" t="s">
        <v>69</v>
      </c>
      <c r="C92" s="24" t="s">
        <v>176</v>
      </c>
      <c r="D92" s="24">
        <v>1971</v>
      </c>
      <c r="E92" s="24">
        <v>5</v>
      </c>
      <c r="F92" s="27">
        <v>5133.5</v>
      </c>
      <c r="G92" s="27">
        <v>4721.8</v>
      </c>
      <c r="H92" s="27">
        <v>3044.1</v>
      </c>
      <c r="I92" s="24">
        <v>188</v>
      </c>
      <c r="J92" s="24" t="s">
        <v>42</v>
      </c>
      <c r="K92" s="24" t="s">
        <v>96</v>
      </c>
      <c r="L92" s="28"/>
      <c r="M92" s="29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9">
        <f>ROUND(G92*3435.59,2)</f>
        <v>16222168.859999999</v>
      </c>
      <c r="Z92" s="28"/>
      <c r="AA92" s="29">
        <v>1018082.4</v>
      </c>
      <c r="AB92" s="29">
        <f t="shared" si="66"/>
        <v>243332.53</v>
      </c>
      <c r="AC92" s="29">
        <f t="shared" si="67"/>
        <v>17483583.789999999</v>
      </c>
      <c r="AD92" s="28"/>
      <c r="AE92" s="28"/>
      <c r="AF92" s="29">
        <f t="shared" si="68"/>
        <v>17483583.789999999</v>
      </c>
      <c r="AG92" s="24">
        <v>2025</v>
      </c>
      <c r="AH92" s="24">
        <v>2025</v>
      </c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J92" s="40"/>
      <c r="BK92" s="31"/>
      <c r="BL92" s="31"/>
      <c r="BM92" s="31"/>
      <c r="BN92" s="31"/>
      <c r="BO92" s="31"/>
      <c r="BP92" s="31"/>
      <c r="BQ92" s="31"/>
    </row>
    <row r="93" spans="1:69" ht="109.9" customHeight="1" x14ac:dyDescent="0.35">
      <c r="A93" s="21">
        <v>76</v>
      </c>
      <c r="B93" s="26" t="s">
        <v>69</v>
      </c>
      <c r="C93" s="24" t="s">
        <v>177</v>
      </c>
      <c r="D93" s="24">
        <v>1960</v>
      </c>
      <c r="E93" s="24">
        <v>4</v>
      </c>
      <c r="F93" s="27">
        <v>1422.6</v>
      </c>
      <c r="G93" s="27">
        <v>1308.7</v>
      </c>
      <c r="H93" s="27">
        <v>672.6</v>
      </c>
      <c r="I93" s="24" t="s">
        <v>41</v>
      </c>
      <c r="J93" s="24" t="s">
        <v>42</v>
      </c>
      <c r="K93" s="24" t="s">
        <v>96</v>
      </c>
      <c r="L93" s="28"/>
      <c r="M93" s="29"/>
      <c r="N93" s="28"/>
      <c r="O93" s="28"/>
      <c r="P93" s="28"/>
      <c r="Q93" s="28"/>
      <c r="R93" s="28"/>
      <c r="S93" s="28"/>
      <c r="T93" s="28"/>
      <c r="U93" s="28"/>
      <c r="V93" s="28"/>
      <c r="W93" s="29">
        <f>ROUND(G93*5975.33,2)</f>
        <v>7819914.3700000001</v>
      </c>
      <c r="X93" s="28"/>
      <c r="Y93" s="28"/>
      <c r="Z93" s="28"/>
      <c r="AA93" s="29">
        <v>734811.6</v>
      </c>
      <c r="AB93" s="29">
        <f>ROUND((M93+V93+W93+X93+Y93+Z93)*0.015,2)</f>
        <v>117298.72</v>
      </c>
      <c r="AC93" s="29">
        <f>SUM(N93:AB93)</f>
        <v>8672024.6900000013</v>
      </c>
      <c r="AD93" s="28"/>
      <c r="AE93" s="28"/>
      <c r="AF93" s="29">
        <f>AC93-(AD93+AE93)</f>
        <v>8672024.6900000013</v>
      </c>
      <c r="AG93" s="24">
        <v>2025</v>
      </c>
      <c r="AH93" s="24">
        <v>2025</v>
      </c>
    </row>
    <row r="94" spans="1:69" ht="109.9" customHeight="1" x14ac:dyDescent="0.35">
      <c r="A94" s="24">
        <v>77</v>
      </c>
      <c r="B94" s="26" t="s">
        <v>69</v>
      </c>
      <c r="C94" s="24" t="s">
        <v>178</v>
      </c>
      <c r="D94" s="24">
        <v>1955</v>
      </c>
      <c r="E94" s="24">
        <v>4</v>
      </c>
      <c r="F94" s="27">
        <v>1560.5</v>
      </c>
      <c r="G94" s="27">
        <v>1247.0999999999999</v>
      </c>
      <c r="H94" s="27">
        <v>829.4</v>
      </c>
      <c r="I94" s="24">
        <v>66</v>
      </c>
      <c r="J94" s="24" t="s">
        <v>43</v>
      </c>
      <c r="K94" s="24" t="s">
        <v>96</v>
      </c>
      <c r="L94" s="28"/>
      <c r="M94" s="29">
        <f>SUM(N94:U94)</f>
        <v>8910878.6999999993</v>
      </c>
      <c r="N94" s="29">
        <f>ROUND(G94*616.25,2)</f>
        <v>768525.38</v>
      </c>
      <c r="O94" s="29">
        <f>ROUND(G94*4857.9,2)</f>
        <v>6058287.0899999999</v>
      </c>
      <c r="P94" s="29"/>
      <c r="Q94" s="29">
        <v>743745.5</v>
      </c>
      <c r="R94" s="29"/>
      <c r="S94" s="29"/>
      <c r="T94" s="29">
        <f t="shared" ref="T94" si="75">ROUND(G94*1074.75,2)</f>
        <v>1340320.73</v>
      </c>
      <c r="U94" s="28"/>
      <c r="V94" s="28"/>
      <c r="W94" s="28"/>
      <c r="X94" s="28"/>
      <c r="Y94" s="28"/>
      <c r="Z94" s="28"/>
      <c r="AA94" s="29">
        <v>613752</v>
      </c>
      <c r="AB94" s="29">
        <f>ROUND((M94+V94+W94+X94+Y94+Z94)*0.015,2)</f>
        <v>133663.18</v>
      </c>
      <c r="AC94" s="29">
        <f>SUM(N94:AB94)</f>
        <v>9658293.879999999</v>
      </c>
      <c r="AD94" s="28"/>
      <c r="AE94" s="28"/>
      <c r="AF94" s="29">
        <f>AC94-(AD94+AE94)</f>
        <v>9658293.879999999</v>
      </c>
      <c r="AG94" s="24">
        <v>2025</v>
      </c>
      <c r="AH94" s="24">
        <v>2025</v>
      </c>
    </row>
    <row r="95" spans="1:69" ht="109.9" customHeight="1" x14ac:dyDescent="0.35">
      <c r="A95" s="21">
        <v>78</v>
      </c>
      <c r="B95" s="26" t="s">
        <v>69</v>
      </c>
      <c r="C95" s="24" t="s">
        <v>179</v>
      </c>
      <c r="D95" s="24">
        <v>1958</v>
      </c>
      <c r="E95" s="24">
        <v>5</v>
      </c>
      <c r="F95" s="27">
        <v>5120.1000000000004</v>
      </c>
      <c r="G95" s="27">
        <v>5120.1000000000004</v>
      </c>
      <c r="H95" s="27">
        <v>4791</v>
      </c>
      <c r="I95" s="24">
        <v>217</v>
      </c>
      <c r="J95" s="24" t="s">
        <v>42</v>
      </c>
      <c r="K95" s="24" t="s">
        <v>96</v>
      </c>
      <c r="L95" s="28"/>
      <c r="M95" s="29"/>
      <c r="N95" s="29"/>
      <c r="O95" s="28"/>
      <c r="P95" s="28"/>
      <c r="Q95" s="28"/>
      <c r="R95" s="28"/>
      <c r="S95" s="28"/>
      <c r="T95" s="28"/>
      <c r="U95" s="28"/>
      <c r="V95" s="28"/>
      <c r="W95" s="29">
        <f>ROUND(G95*3855.19,2)</f>
        <v>19738958.32</v>
      </c>
      <c r="X95" s="28"/>
      <c r="Y95" s="28"/>
      <c r="Z95" s="28"/>
      <c r="AA95" s="29">
        <v>1346138.4</v>
      </c>
      <c r="AB95" s="29">
        <f>ROUND((M95+V95+W95+X95+Y95+Z95)*0.015,2)</f>
        <v>296084.37</v>
      </c>
      <c r="AC95" s="29">
        <f>SUM(N95:AB95)</f>
        <v>21381181.09</v>
      </c>
      <c r="AD95" s="28"/>
      <c r="AE95" s="28"/>
      <c r="AF95" s="29">
        <f>AC95-(AD95+AE95)</f>
        <v>21381181.09</v>
      </c>
      <c r="AG95" s="24">
        <v>2025</v>
      </c>
      <c r="AH95" s="24">
        <v>2025</v>
      </c>
    </row>
    <row r="96" spans="1:69" ht="109.9" customHeight="1" x14ac:dyDescent="0.35">
      <c r="A96" s="24">
        <v>79</v>
      </c>
      <c r="B96" s="26" t="s">
        <v>69</v>
      </c>
      <c r="C96" s="24" t="s">
        <v>180</v>
      </c>
      <c r="D96" s="24">
        <v>1953</v>
      </c>
      <c r="E96" s="24">
        <v>4</v>
      </c>
      <c r="F96" s="27">
        <v>1615.1</v>
      </c>
      <c r="G96" s="27">
        <v>1235.5999999999999</v>
      </c>
      <c r="H96" s="27">
        <v>1023.6</v>
      </c>
      <c r="I96" s="24">
        <v>92</v>
      </c>
      <c r="J96" s="24" t="s">
        <v>43</v>
      </c>
      <c r="K96" s="24" t="s">
        <v>96</v>
      </c>
      <c r="L96" s="28"/>
      <c r="M96" s="29">
        <f t="shared" si="72"/>
        <v>6763859.7400000002</v>
      </c>
      <c r="N96" s="29">
        <f>ROUND(G96*616.25,2)</f>
        <v>761438.5</v>
      </c>
      <c r="O96" s="29">
        <f>ROUND(G96*4857.9,2)</f>
        <v>6002421.2400000002</v>
      </c>
      <c r="P96" s="29"/>
      <c r="Q96" s="28"/>
      <c r="R96" s="28"/>
      <c r="S96" s="28"/>
      <c r="T96" s="28"/>
      <c r="U96" s="28"/>
      <c r="V96" s="28"/>
      <c r="W96" s="28"/>
      <c r="X96" s="28"/>
      <c r="Y96" s="28">
        <v>4747508.8099999996</v>
      </c>
      <c r="Z96" s="28">
        <v>1402912.6</v>
      </c>
      <c r="AA96" s="29">
        <f>614088+850110</f>
        <v>1464198</v>
      </c>
      <c r="AB96" s="29">
        <f t="shared" si="66"/>
        <v>193714.22</v>
      </c>
      <c r="AC96" s="29">
        <f t="shared" si="67"/>
        <v>14572193.370000001</v>
      </c>
      <c r="AD96" s="28"/>
      <c r="AE96" s="28"/>
      <c r="AF96" s="29">
        <f t="shared" si="68"/>
        <v>14572193.370000001</v>
      </c>
      <c r="AG96" s="24">
        <v>2025</v>
      </c>
      <c r="AH96" s="24">
        <v>2025</v>
      </c>
      <c r="AI96" s="159"/>
      <c r="AJ96" s="159"/>
      <c r="AK96" s="159"/>
      <c r="AL96" s="159"/>
      <c r="AM96" s="159"/>
      <c r="AN96" s="159"/>
      <c r="AO96" s="159"/>
      <c r="AP96" s="159"/>
      <c r="AQ96" s="159"/>
      <c r="AR96" s="159"/>
      <c r="AS96" s="39"/>
      <c r="AT96" s="2"/>
      <c r="BJ96" s="40"/>
      <c r="BK96" s="31"/>
      <c r="BL96" s="31"/>
      <c r="BM96" s="31"/>
      <c r="BN96" s="31"/>
      <c r="BO96" s="31"/>
      <c r="BP96" s="31"/>
      <c r="BQ96" s="31"/>
    </row>
    <row r="97" spans="1:69" ht="109.9" customHeight="1" x14ac:dyDescent="0.35">
      <c r="A97" s="21">
        <v>80</v>
      </c>
      <c r="B97" s="26" t="s">
        <v>69</v>
      </c>
      <c r="C97" s="24" t="s">
        <v>181</v>
      </c>
      <c r="D97" s="24">
        <v>1952</v>
      </c>
      <c r="E97" s="24">
        <v>4</v>
      </c>
      <c r="F97" s="27">
        <v>2206.6999999999998</v>
      </c>
      <c r="G97" s="27">
        <v>1990.8</v>
      </c>
      <c r="H97" s="27" t="s">
        <v>248</v>
      </c>
      <c r="I97" s="24">
        <v>68</v>
      </c>
      <c r="J97" s="24" t="s">
        <v>42</v>
      </c>
      <c r="K97" s="24" t="s">
        <v>96</v>
      </c>
      <c r="L97" s="28"/>
      <c r="M97" s="29">
        <f t="shared" si="72"/>
        <v>15399156.52</v>
      </c>
      <c r="N97" s="29">
        <f>ROUND(G97*616.25,2)</f>
        <v>1226830.5</v>
      </c>
      <c r="O97" s="29">
        <f>ROUND(G97*4857.9,2)</f>
        <v>9671107.3200000003</v>
      </c>
      <c r="P97" s="29"/>
      <c r="Q97" s="29">
        <f>ROUND(G97*596.38,2)</f>
        <v>1187273.3</v>
      </c>
      <c r="R97" s="29">
        <f>ROUND(G97*589.88,2)</f>
        <v>1174333.1000000001</v>
      </c>
      <c r="S97" s="29"/>
      <c r="T97" s="29">
        <f>ROUND(G97*1074.75,2)</f>
        <v>2139612.2999999998</v>
      </c>
      <c r="U97" s="28"/>
      <c r="V97" s="28"/>
      <c r="W97" s="28"/>
      <c r="X97" s="28"/>
      <c r="Y97" s="28"/>
      <c r="Z97" s="28"/>
      <c r="AA97" s="29">
        <v>944169.6</v>
      </c>
      <c r="AB97" s="29">
        <f t="shared" si="66"/>
        <v>230987.35</v>
      </c>
      <c r="AC97" s="29">
        <f t="shared" si="67"/>
        <v>16574313.469999999</v>
      </c>
      <c r="AD97" s="28"/>
      <c r="AE97" s="28"/>
      <c r="AF97" s="29">
        <f t="shared" si="68"/>
        <v>16574313.469999999</v>
      </c>
      <c r="AG97" s="24">
        <v>2025</v>
      </c>
      <c r="AH97" s="24">
        <v>2025</v>
      </c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41"/>
      <c r="BK97" s="31"/>
      <c r="BL97" s="31"/>
      <c r="BM97" s="31"/>
      <c r="BN97" s="31"/>
      <c r="BO97" s="31"/>
      <c r="BP97" s="31"/>
      <c r="BQ97" s="31"/>
    </row>
    <row r="98" spans="1:69" ht="109.9" customHeight="1" x14ac:dyDescent="0.35">
      <c r="A98" s="24">
        <v>81</v>
      </c>
      <c r="B98" s="26" t="s">
        <v>182</v>
      </c>
      <c r="C98" s="24" t="s">
        <v>183</v>
      </c>
      <c r="D98" s="24">
        <v>1957</v>
      </c>
      <c r="E98" s="24">
        <v>4</v>
      </c>
      <c r="F98" s="27">
        <v>5401.2</v>
      </c>
      <c r="G98" s="27">
        <v>5007.3999999999996</v>
      </c>
      <c r="H98" s="27">
        <v>3075.4</v>
      </c>
      <c r="I98" s="24">
        <v>101</v>
      </c>
      <c r="J98" s="24" t="s">
        <v>42</v>
      </c>
      <c r="K98" s="24" t="s">
        <v>96</v>
      </c>
      <c r="L98" s="28"/>
      <c r="M98" s="29"/>
      <c r="N98" s="29"/>
      <c r="O98" s="29"/>
      <c r="P98" s="29"/>
      <c r="Q98" s="29"/>
      <c r="R98" s="29"/>
      <c r="S98" s="29"/>
      <c r="T98" s="29"/>
      <c r="U98" s="28"/>
      <c r="V98" s="28"/>
      <c r="W98" s="28"/>
      <c r="X98" s="28"/>
      <c r="Y98" s="29">
        <f>ROUND(G98*3435.59,2)</f>
        <v>17203373.370000001</v>
      </c>
      <c r="Z98" s="29">
        <f>ROUND(G98*1135.41,2)</f>
        <v>5685452.0300000003</v>
      </c>
      <c r="AA98" s="29">
        <v>1422879.6</v>
      </c>
      <c r="AB98" s="29">
        <f>ROUND((M98+V98+W98+X98+Y98+Z98)*0.015,2)</f>
        <v>343332.38</v>
      </c>
      <c r="AC98" s="29">
        <f>SUM(N98:AB98)</f>
        <v>24655037.380000003</v>
      </c>
      <c r="AD98" s="28"/>
      <c r="AE98" s="28"/>
      <c r="AF98" s="29">
        <f>AC98-(AD98+AE98)</f>
        <v>24655037.380000003</v>
      </c>
      <c r="AG98" s="24">
        <v>2025</v>
      </c>
      <c r="AH98" s="24">
        <v>2025</v>
      </c>
    </row>
    <row r="99" spans="1:69" ht="109.9" customHeight="1" x14ac:dyDescent="0.35">
      <c r="A99" s="21">
        <v>82</v>
      </c>
      <c r="B99" s="26" t="s">
        <v>182</v>
      </c>
      <c r="C99" s="24" t="s">
        <v>184</v>
      </c>
      <c r="D99" s="24">
        <v>1959</v>
      </c>
      <c r="E99" s="24">
        <v>4</v>
      </c>
      <c r="F99" s="27">
        <v>3011.8</v>
      </c>
      <c r="G99" s="27">
        <v>2749.1</v>
      </c>
      <c r="H99" s="27">
        <v>2749.1</v>
      </c>
      <c r="I99" s="24">
        <v>118</v>
      </c>
      <c r="J99" s="24" t="s">
        <v>42</v>
      </c>
      <c r="K99" s="24" t="s">
        <v>96</v>
      </c>
      <c r="L99" s="28"/>
      <c r="M99" s="29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9">
        <f>ROUND(G99*3170.13,2)</f>
        <v>8715004.3800000008</v>
      </c>
      <c r="Z99" s="29">
        <f>ROUND(G99*1135.41,2)</f>
        <v>3121355.63</v>
      </c>
      <c r="AA99" s="29">
        <v>1024922.4</v>
      </c>
      <c r="AB99" s="29">
        <f>ROUND((M99+V99+W99+X99+Y99+Z99)*0.015,2)</f>
        <v>177545.4</v>
      </c>
      <c r="AC99" s="29">
        <f>SUM(N99:AB99)</f>
        <v>13038827.810000002</v>
      </c>
      <c r="AD99" s="28"/>
      <c r="AE99" s="28"/>
      <c r="AF99" s="29">
        <f>AC99-(AD99+AE99)</f>
        <v>13038827.810000002</v>
      </c>
      <c r="AG99" s="24">
        <v>2025</v>
      </c>
      <c r="AH99" s="24">
        <v>2025</v>
      </c>
    </row>
    <row r="100" spans="1:69" ht="109.9" customHeight="1" x14ac:dyDescent="0.35">
      <c r="A100" s="24">
        <v>83</v>
      </c>
      <c r="B100" s="26" t="s">
        <v>69</v>
      </c>
      <c r="C100" s="24" t="s">
        <v>185</v>
      </c>
      <c r="D100" s="24">
        <v>1952</v>
      </c>
      <c r="E100" s="24">
        <v>4</v>
      </c>
      <c r="F100" s="27">
        <v>1812.7</v>
      </c>
      <c r="G100" s="27">
        <v>1812.7</v>
      </c>
      <c r="H100" s="27" t="s">
        <v>41</v>
      </c>
      <c r="I100" s="24" t="s">
        <v>41</v>
      </c>
      <c r="J100" s="24" t="s">
        <v>42</v>
      </c>
      <c r="K100" s="24" t="s">
        <v>96</v>
      </c>
      <c r="L100" s="28"/>
      <c r="M100" s="29">
        <f t="shared" si="72"/>
        <v>14021524.550000001</v>
      </c>
      <c r="N100" s="29">
        <f>ROUND(G100*616.25,2)</f>
        <v>1117076.3799999999</v>
      </c>
      <c r="O100" s="29">
        <f>ROUND(G100*4857.9,2)</f>
        <v>8805915.3300000001</v>
      </c>
      <c r="P100" s="29"/>
      <c r="Q100" s="29">
        <f>ROUND(G100*596.38,2)</f>
        <v>1081058.03</v>
      </c>
      <c r="R100" s="29">
        <f>ROUND(G100*589.88,2)</f>
        <v>1069275.48</v>
      </c>
      <c r="S100" s="29"/>
      <c r="T100" s="29">
        <f>ROUND(G100*1074.75,2)</f>
        <v>1948199.33</v>
      </c>
      <c r="U100" s="29"/>
      <c r="V100" s="28"/>
      <c r="W100" s="28"/>
      <c r="X100" s="28"/>
      <c r="Y100" s="28"/>
      <c r="Z100" s="28"/>
      <c r="AA100" s="29">
        <v>817208.4</v>
      </c>
      <c r="AB100" s="29">
        <f t="shared" si="66"/>
        <v>210322.87</v>
      </c>
      <c r="AC100" s="29">
        <f t="shared" si="67"/>
        <v>15049055.82</v>
      </c>
      <c r="AD100" s="28"/>
      <c r="AE100" s="28"/>
      <c r="AF100" s="29">
        <f t="shared" si="68"/>
        <v>15049055.82</v>
      </c>
      <c r="AG100" s="24">
        <v>2025</v>
      </c>
      <c r="AH100" s="24">
        <v>2025</v>
      </c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41"/>
      <c r="BK100" s="31"/>
      <c r="BL100" s="31"/>
      <c r="BM100" s="31"/>
      <c r="BN100" s="31"/>
      <c r="BO100" s="31"/>
      <c r="BP100" s="31"/>
      <c r="BQ100" s="31"/>
    </row>
    <row r="101" spans="1:69" ht="109.9" customHeight="1" x14ac:dyDescent="0.35">
      <c r="A101" s="21">
        <v>84</v>
      </c>
      <c r="B101" s="26" t="s">
        <v>69</v>
      </c>
      <c r="C101" s="24" t="s">
        <v>186</v>
      </c>
      <c r="D101" s="24">
        <v>1960</v>
      </c>
      <c r="E101" s="24">
        <v>5</v>
      </c>
      <c r="F101" s="27">
        <v>4660.2</v>
      </c>
      <c r="G101" s="27">
        <v>4660.2</v>
      </c>
      <c r="H101" s="27">
        <v>2604.4</v>
      </c>
      <c r="I101" s="24">
        <v>107</v>
      </c>
      <c r="J101" s="24" t="s">
        <v>42</v>
      </c>
      <c r="K101" s="24" t="s">
        <v>96</v>
      </c>
      <c r="L101" s="28"/>
      <c r="M101" s="29"/>
      <c r="N101" s="28"/>
      <c r="O101" s="28"/>
      <c r="P101" s="28"/>
      <c r="Q101" s="28"/>
      <c r="R101" s="28"/>
      <c r="S101" s="28"/>
      <c r="T101" s="28"/>
      <c r="U101" s="28"/>
      <c r="V101" s="28"/>
      <c r="W101" s="29">
        <f>ROUND(G101*3855.19,2)</f>
        <v>17965956.440000001</v>
      </c>
      <c r="X101" s="28"/>
      <c r="Y101" s="28"/>
      <c r="Z101" s="28"/>
      <c r="AA101" s="29">
        <v>1229403.6000000001</v>
      </c>
      <c r="AB101" s="29">
        <f>ROUND((M101+V101+W101+X101+Y101+Z101)*0.015,2)</f>
        <v>269489.34999999998</v>
      </c>
      <c r="AC101" s="29">
        <f>SUM(N101:AB101)</f>
        <v>19464849.390000004</v>
      </c>
      <c r="AD101" s="28"/>
      <c r="AE101" s="28"/>
      <c r="AF101" s="29">
        <f>AC101-(AD101+AE101)</f>
        <v>19464849.390000004</v>
      </c>
      <c r="AG101" s="24">
        <v>2025</v>
      </c>
      <c r="AH101" s="24">
        <v>2025</v>
      </c>
    </row>
    <row r="102" spans="1:69" ht="109.9" customHeight="1" x14ac:dyDescent="0.35">
      <c r="A102" s="24">
        <v>85</v>
      </c>
      <c r="B102" s="26" t="s">
        <v>69</v>
      </c>
      <c r="C102" s="24" t="s">
        <v>187</v>
      </c>
      <c r="D102" s="24">
        <v>1958</v>
      </c>
      <c r="E102" s="24">
        <v>4</v>
      </c>
      <c r="F102" s="27">
        <v>1754.6</v>
      </c>
      <c r="G102" s="27">
        <v>1754.6</v>
      </c>
      <c r="H102" s="27">
        <v>1299.8</v>
      </c>
      <c r="I102" s="24">
        <v>43</v>
      </c>
      <c r="J102" s="24" t="s">
        <v>42</v>
      </c>
      <c r="K102" s="24" t="s">
        <v>96</v>
      </c>
      <c r="L102" s="28"/>
      <c r="M102" s="29"/>
      <c r="N102" s="28"/>
      <c r="O102" s="28"/>
      <c r="P102" s="28"/>
      <c r="Q102" s="28"/>
      <c r="R102" s="28"/>
      <c r="S102" s="28"/>
      <c r="T102" s="28"/>
      <c r="U102" s="28"/>
      <c r="V102" s="28"/>
      <c r="W102" s="29">
        <f>ROUND(G102*5975.33,2)</f>
        <v>10484314.02</v>
      </c>
      <c r="X102" s="28"/>
      <c r="Y102" s="28"/>
      <c r="Z102" s="28"/>
      <c r="AA102" s="29">
        <v>806947.2</v>
      </c>
      <c r="AB102" s="29">
        <f t="shared" si="66"/>
        <v>157264.71</v>
      </c>
      <c r="AC102" s="29">
        <f t="shared" si="67"/>
        <v>11448525.93</v>
      </c>
      <c r="AD102" s="28"/>
      <c r="AE102" s="28"/>
      <c r="AF102" s="29">
        <f t="shared" si="68"/>
        <v>11448525.93</v>
      </c>
      <c r="AG102" s="24">
        <v>2025</v>
      </c>
      <c r="AH102" s="24">
        <v>2025</v>
      </c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9"/>
      <c r="AT102" s="2"/>
      <c r="BJ102" s="40"/>
      <c r="BK102" s="31"/>
      <c r="BL102" s="31"/>
      <c r="BM102" s="31"/>
      <c r="BN102" s="31"/>
      <c r="BO102" s="31"/>
      <c r="BP102" s="31"/>
      <c r="BQ102" s="31"/>
    </row>
    <row r="103" spans="1:69" ht="109.9" customHeight="1" x14ac:dyDescent="0.35">
      <c r="A103" s="21">
        <v>86</v>
      </c>
      <c r="B103" s="26" t="s">
        <v>69</v>
      </c>
      <c r="C103" s="24" t="s">
        <v>188</v>
      </c>
      <c r="D103" s="24">
        <v>1958</v>
      </c>
      <c r="E103" s="24">
        <v>4</v>
      </c>
      <c r="F103" s="27">
        <v>1066.0999999999999</v>
      </c>
      <c r="G103" s="27">
        <v>980.3</v>
      </c>
      <c r="H103" s="27">
        <v>687.9</v>
      </c>
      <c r="I103" s="24">
        <v>22</v>
      </c>
      <c r="J103" s="24" t="s">
        <v>42</v>
      </c>
      <c r="K103" s="24" t="s">
        <v>189</v>
      </c>
      <c r="L103" s="28"/>
      <c r="M103" s="29"/>
      <c r="N103" s="28"/>
      <c r="O103" s="28"/>
      <c r="P103" s="28"/>
      <c r="Q103" s="28"/>
      <c r="R103" s="28"/>
      <c r="S103" s="28"/>
      <c r="T103" s="28"/>
      <c r="U103" s="28"/>
      <c r="V103" s="28"/>
      <c r="W103" s="29">
        <f>ROUND(G103*5222.75,2)</f>
        <v>5119861.83</v>
      </c>
      <c r="X103" s="28"/>
      <c r="Y103" s="28"/>
      <c r="Z103" s="28"/>
      <c r="AA103" s="29">
        <v>708261.6</v>
      </c>
      <c r="AB103" s="29">
        <f t="shared" si="66"/>
        <v>76797.929999999993</v>
      </c>
      <c r="AC103" s="29">
        <f t="shared" si="67"/>
        <v>5904921.3599999994</v>
      </c>
      <c r="AD103" s="28"/>
      <c r="AE103" s="28"/>
      <c r="AF103" s="29">
        <f t="shared" si="68"/>
        <v>5904921.3599999994</v>
      </c>
      <c r="AG103" s="24">
        <v>2025</v>
      </c>
      <c r="AH103" s="24">
        <v>2025</v>
      </c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35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41"/>
      <c r="BK103" s="31"/>
      <c r="BL103" s="31"/>
      <c r="BM103" s="31"/>
      <c r="BN103" s="31"/>
      <c r="BO103" s="31"/>
      <c r="BP103" s="31"/>
      <c r="BQ103" s="31"/>
    </row>
    <row r="104" spans="1:69" s="12" customFormat="1" ht="109.9" customHeight="1" x14ac:dyDescent="0.35">
      <c r="A104" s="160" t="s">
        <v>190</v>
      </c>
      <c r="B104" s="160"/>
      <c r="C104" s="160"/>
      <c r="D104" s="17"/>
      <c r="E104" s="17"/>
      <c r="F104" s="18">
        <f>SUM(F67:F103)</f>
        <v>129482.40000000002</v>
      </c>
      <c r="G104" s="18">
        <f>SUM(G67:G103)</f>
        <v>118083.50000000003</v>
      </c>
      <c r="H104" s="18"/>
      <c r="I104" s="17"/>
      <c r="J104" s="17"/>
      <c r="K104" s="17"/>
      <c r="L104" s="17"/>
      <c r="M104" s="17">
        <f>SUM(M67:M103)</f>
        <v>142942902.17000002</v>
      </c>
      <c r="N104" s="17">
        <f>SUM(N67:N103)</f>
        <v>13750509.530000001</v>
      </c>
      <c r="O104" s="17">
        <f>SUM(O67:O103)</f>
        <v>86447108.86999999</v>
      </c>
      <c r="P104" s="43"/>
      <c r="Q104" s="17">
        <f>SUM(Q67:Q103)</f>
        <v>13806562.6</v>
      </c>
      <c r="R104" s="17">
        <f>SUM(R67:R103)</f>
        <v>10773510.73</v>
      </c>
      <c r="S104" s="43"/>
      <c r="T104" s="17">
        <f>SUM(T67:T103)</f>
        <v>17106486.600000001</v>
      </c>
      <c r="U104" s="17">
        <f>SUM(U67:U103)</f>
        <v>1058723.8400000001</v>
      </c>
      <c r="V104" s="43"/>
      <c r="W104" s="17">
        <f t="shared" ref="W104:AC104" si="76">SUM(W67:W103)</f>
        <v>167656072.71000004</v>
      </c>
      <c r="X104" s="17">
        <f t="shared" si="76"/>
        <v>19097395.490000002</v>
      </c>
      <c r="Y104" s="17">
        <f t="shared" si="76"/>
        <v>153935140.07999998</v>
      </c>
      <c r="Z104" s="17">
        <f t="shared" si="76"/>
        <v>30110846.110000003</v>
      </c>
      <c r="AA104" s="17">
        <f t="shared" si="76"/>
        <v>40594028.799999997</v>
      </c>
      <c r="AB104" s="17">
        <f t="shared" si="76"/>
        <v>7706135.3499999987</v>
      </c>
      <c r="AC104" s="43">
        <f t="shared" si="76"/>
        <v>562042520.70999992</v>
      </c>
      <c r="AD104" s="43"/>
      <c r="AE104" s="43"/>
      <c r="AF104" s="43">
        <f>AC104</f>
        <v>562042520.70999992</v>
      </c>
      <c r="AG104" s="17">
        <v>2025</v>
      </c>
      <c r="AH104" s="17">
        <v>2025</v>
      </c>
    </row>
    <row r="105" spans="1:69" s="47" customFormat="1" ht="109.9" customHeight="1" x14ac:dyDescent="0.35">
      <c r="A105" s="161" t="s">
        <v>191</v>
      </c>
      <c r="B105" s="161"/>
      <c r="C105" s="161"/>
      <c r="D105" s="44"/>
      <c r="E105" s="44"/>
      <c r="F105" s="45">
        <f>F104+F65+F43</f>
        <v>327973.90000000002</v>
      </c>
      <c r="G105" s="45">
        <f>G104+G65+G43</f>
        <v>297625.20000000007</v>
      </c>
      <c r="H105" s="45"/>
      <c r="I105" s="44"/>
      <c r="J105" s="44"/>
      <c r="K105" s="44"/>
      <c r="L105" s="44"/>
      <c r="M105" s="46">
        <f>M104+M65+M43</f>
        <v>643414281.51999998</v>
      </c>
      <c r="N105" s="46">
        <f>N104+N65+N43</f>
        <v>71502501.590000004</v>
      </c>
      <c r="O105" s="46">
        <f>O104+O65+O43</f>
        <v>352320618.06000006</v>
      </c>
      <c r="P105" s="46"/>
      <c r="Q105" s="46">
        <f>Q104+Q65+Q43</f>
        <v>65427115.890000001</v>
      </c>
      <c r="R105" s="46">
        <f>R104+R65+R43</f>
        <v>59404329.530000001</v>
      </c>
      <c r="S105" s="46">
        <f>S104+S65+S43</f>
        <v>2394897.56</v>
      </c>
      <c r="T105" s="46">
        <f>T104+T65+T43</f>
        <v>86418512.13000001</v>
      </c>
      <c r="U105" s="46">
        <f>U104+U65+U43</f>
        <v>5946306.7599999998</v>
      </c>
      <c r="V105" s="46"/>
      <c r="W105" s="46">
        <f t="shared" ref="W105:AC105" si="77">W104+W65+W43</f>
        <v>328260540.16000003</v>
      </c>
      <c r="X105" s="46">
        <f t="shared" si="77"/>
        <v>74926706.900000006</v>
      </c>
      <c r="Y105" s="46">
        <f t="shared" si="77"/>
        <v>254691560.03999999</v>
      </c>
      <c r="Z105" s="46">
        <f t="shared" si="77"/>
        <v>95653183.150000006</v>
      </c>
      <c r="AA105" s="46">
        <f t="shared" si="77"/>
        <v>104922680.19999999</v>
      </c>
      <c r="AB105" s="46">
        <f t="shared" si="77"/>
        <v>20954194.050000001</v>
      </c>
      <c r="AC105" s="46">
        <f t="shared" si="77"/>
        <v>1522823146.02</v>
      </c>
      <c r="AD105" s="46"/>
      <c r="AE105" s="46"/>
      <c r="AF105" s="46">
        <f>AF104+AF65+AF43</f>
        <v>1522823146.02</v>
      </c>
      <c r="AG105" s="44"/>
      <c r="AH105" s="44"/>
    </row>
    <row r="106" spans="1:69" s="47" customFormat="1" ht="109.9" customHeight="1" x14ac:dyDescent="0.35">
      <c r="A106" s="20"/>
      <c r="B106" s="48"/>
      <c r="C106" s="48"/>
      <c r="D106" s="49"/>
      <c r="E106" s="49"/>
      <c r="F106" s="50"/>
      <c r="G106" s="50"/>
      <c r="H106" s="50"/>
      <c r="I106" s="49"/>
      <c r="J106" s="49"/>
      <c r="K106" s="49"/>
      <c r="L106" s="49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2"/>
      <c r="AE106" s="53"/>
      <c r="AF106" s="53"/>
      <c r="AG106" s="54"/>
      <c r="AH106" s="54"/>
    </row>
    <row r="107" spans="1:69" s="47" customFormat="1" ht="109.9" customHeight="1" x14ac:dyDescent="0.35">
      <c r="A107" s="154" t="s">
        <v>192</v>
      </c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6"/>
      <c r="AE107" s="55"/>
      <c r="AF107" s="55"/>
      <c r="AG107" s="56"/>
      <c r="AH107" s="56"/>
    </row>
    <row r="108" spans="1:69" ht="109.9" customHeight="1" x14ac:dyDescent="0.35">
      <c r="A108" s="140" t="s">
        <v>193</v>
      </c>
      <c r="B108" s="141"/>
      <c r="C108" s="142"/>
      <c r="D108" s="140" t="s">
        <v>194</v>
      </c>
      <c r="E108" s="141"/>
      <c r="F108" s="141"/>
      <c r="G108" s="141"/>
      <c r="H108" s="141"/>
      <c r="I108" s="141"/>
      <c r="J108" s="141"/>
      <c r="K108" s="141"/>
      <c r="L108" s="142"/>
      <c r="M108" s="149" t="s">
        <v>195</v>
      </c>
      <c r="N108" s="149"/>
      <c r="O108" s="149"/>
      <c r="P108" s="149"/>
      <c r="Q108" s="149"/>
      <c r="R108" s="149"/>
      <c r="S108" s="149"/>
      <c r="T108" s="149"/>
      <c r="U108" s="149"/>
      <c r="V108" s="137" t="s">
        <v>196</v>
      </c>
      <c r="W108" s="137" t="s">
        <v>197</v>
      </c>
      <c r="X108" s="137" t="s">
        <v>198</v>
      </c>
      <c r="Y108" s="137" t="s">
        <v>199</v>
      </c>
      <c r="Z108" s="137" t="s">
        <v>200</v>
      </c>
      <c r="AA108" s="137" t="s">
        <v>201</v>
      </c>
      <c r="AB108" s="152" t="s">
        <v>202</v>
      </c>
      <c r="AC108" s="137" t="s">
        <v>39</v>
      </c>
      <c r="AD108" s="138" t="s">
        <v>203</v>
      </c>
      <c r="AE108" s="59"/>
      <c r="AF108" s="131"/>
      <c r="AG108" s="60"/>
      <c r="AH108" s="131"/>
      <c r="AI108" s="60"/>
      <c r="AJ108" s="131"/>
      <c r="AK108" s="60"/>
      <c r="AL108" s="131"/>
      <c r="AM108" s="60"/>
      <c r="AN108" s="131"/>
      <c r="AO108" s="131"/>
      <c r="AP108" s="131"/>
      <c r="AQ108" s="131"/>
      <c r="AR108" s="131"/>
      <c r="AS108" s="131"/>
      <c r="AT108" s="131"/>
      <c r="AU108" s="131"/>
    </row>
    <row r="109" spans="1:69" ht="109.9" customHeight="1" x14ac:dyDescent="0.35">
      <c r="A109" s="143"/>
      <c r="B109" s="144"/>
      <c r="C109" s="145"/>
      <c r="D109" s="146"/>
      <c r="E109" s="147"/>
      <c r="F109" s="147"/>
      <c r="G109" s="147"/>
      <c r="H109" s="147"/>
      <c r="I109" s="147"/>
      <c r="J109" s="147"/>
      <c r="K109" s="147"/>
      <c r="L109" s="148"/>
      <c r="M109" s="57" t="s">
        <v>204</v>
      </c>
      <c r="N109" s="58" t="s">
        <v>205</v>
      </c>
      <c r="O109" s="58" t="s">
        <v>206</v>
      </c>
      <c r="P109" s="58" t="s">
        <v>207</v>
      </c>
      <c r="Q109" s="58" t="s">
        <v>208</v>
      </c>
      <c r="R109" s="58" t="s">
        <v>209</v>
      </c>
      <c r="S109" s="58" t="s">
        <v>210</v>
      </c>
      <c r="T109" s="58" t="s">
        <v>211</v>
      </c>
      <c r="U109" s="58" t="s">
        <v>212</v>
      </c>
      <c r="V109" s="137"/>
      <c r="W109" s="137"/>
      <c r="X109" s="137"/>
      <c r="Y109" s="137"/>
      <c r="Z109" s="137"/>
      <c r="AA109" s="137"/>
      <c r="AB109" s="153"/>
      <c r="AC109" s="137"/>
      <c r="AD109" s="139"/>
      <c r="AE109" s="59"/>
      <c r="AF109" s="131"/>
      <c r="AG109" s="60"/>
      <c r="AH109" s="131"/>
      <c r="AI109" s="60"/>
      <c r="AJ109" s="131"/>
      <c r="AK109" s="60"/>
      <c r="AL109" s="131"/>
      <c r="AM109" s="60"/>
      <c r="AN109" s="131"/>
      <c r="AO109" s="131"/>
      <c r="AP109" s="131"/>
      <c r="AQ109" s="131"/>
      <c r="AR109" s="131"/>
      <c r="AS109" s="131"/>
      <c r="AT109" s="131"/>
      <c r="AU109" s="131"/>
    </row>
    <row r="110" spans="1:69" ht="109.9" customHeight="1" x14ac:dyDescent="0.35">
      <c r="A110" s="146"/>
      <c r="B110" s="147"/>
      <c r="C110" s="148"/>
      <c r="D110" s="151">
        <f>F43</f>
        <v>125246.99999999999</v>
      </c>
      <c r="E110" s="133"/>
      <c r="F110" s="133"/>
      <c r="G110" s="133"/>
      <c r="H110" s="133"/>
      <c r="I110" s="133"/>
      <c r="J110" s="133"/>
      <c r="K110" s="133"/>
      <c r="L110" s="134"/>
      <c r="M110" s="61">
        <f>SUM(N110:U110)</f>
        <v>173563215.52000001</v>
      </c>
      <c r="N110" s="61">
        <f>N43</f>
        <v>21536273.649999999</v>
      </c>
      <c r="O110" s="61">
        <f>O43</f>
        <v>96508579.830000013</v>
      </c>
      <c r="P110" s="61"/>
      <c r="Q110" s="61">
        <f>Q43</f>
        <v>15658910.039999999</v>
      </c>
      <c r="R110" s="61">
        <f>R43</f>
        <v>13810003.59</v>
      </c>
      <c r="S110" s="61"/>
      <c r="T110" s="61">
        <f>T43</f>
        <v>22027088.98</v>
      </c>
      <c r="U110" s="61">
        <f>U43</f>
        <v>4022359.4299999997</v>
      </c>
      <c r="V110" s="58"/>
      <c r="W110" s="58">
        <f t="shared" ref="W110:AB110" si="78">W43</f>
        <v>147198815.25999999</v>
      </c>
      <c r="X110" s="61">
        <f t="shared" si="78"/>
        <v>20789737.710000001</v>
      </c>
      <c r="Y110" s="61">
        <f t="shared" si="78"/>
        <v>69748771.530000001</v>
      </c>
      <c r="Z110" s="61">
        <f t="shared" si="78"/>
        <v>32160942.41</v>
      </c>
      <c r="AA110" s="61">
        <f t="shared" si="78"/>
        <v>34248214.799999997</v>
      </c>
      <c r="AB110" s="61">
        <f t="shared" si="78"/>
        <v>6651922.2300000014</v>
      </c>
      <c r="AC110" s="61">
        <f>AB110+AA110+Z110+Y110+X110+W110+V110+M110</f>
        <v>484361619.46000004</v>
      </c>
      <c r="AD110" s="62" t="s">
        <v>213</v>
      </c>
      <c r="AE110" s="63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135"/>
      <c r="AR110" s="135"/>
      <c r="AS110" s="135"/>
      <c r="AT110" s="135"/>
      <c r="AU110" s="135"/>
    </row>
    <row r="111" spans="1:69" ht="109.9" customHeight="1" x14ac:dyDescent="0.35">
      <c r="A111" s="140" t="s">
        <v>214</v>
      </c>
      <c r="B111" s="141"/>
      <c r="C111" s="142"/>
      <c r="D111" s="140" t="s">
        <v>215</v>
      </c>
      <c r="E111" s="141"/>
      <c r="F111" s="141"/>
      <c r="G111" s="141"/>
      <c r="H111" s="141"/>
      <c r="I111" s="141"/>
      <c r="J111" s="141"/>
      <c r="K111" s="141"/>
      <c r="L111" s="142"/>
      <c r="M111" s="149" t="s">
        <v>195</v>
      </c>
      <c r="N111" s="149"/>
      <c r="O111" s="149"/>
      <c r="P111" s="149"/>
      <c r="Q111" s="149"/>
      <c r="R111" s="149"/>
      <c r="S111" s="149"/>
      <c r="T111" s="149"/>
      <c r="U111" s="150"/>
      <c r="V111" s="137" t="s">
        <v>36</v>
      </c>
      <c r="W111" s="137" t="s">
        <v>216</v>
      </c>
      <c r="X111" s="137" t="s">
        <v>81</v>
      </c>
      <c r="Y111" s="137" t="s">
        <v>199</v>
      </c>
      <c r="Z111" s="137" t="s">
        <v>200</v>
      </c>
      <c r="AA111" s="137" t="s">
        <v>201</v>
      </c>
      <c r="AB111" s="137" t="s">
        <v>217</v>
      </c>
      <c r="AC111" s="137" t="s">
        <v>39</v>
      </c>
      <c r="AD111" s="138" t="s">
        <v>203</v>
      </c>
      <c r="AE111" s="59"/>
      <c r="AF111" s="131"/>
      <c r="AG111" s="60"/>
      <c r="AH111" s="131"/>
      <c r="AI111" s="60"/>
      <c r="AJ111" s="131"/>
      <c r="AK111" s="60"/>
      <c r="AL111" s="131"/>
      <c r="AM111" s="60"/>
      <c r="AN111" s="131"/>
      <c r="AO111" s="131"/>
      <c r="AP111" s="131"/>
      <c r="AQ111" s="131"/>
      <c r="AR111" s="131"/>
      <c r="AS111" s="131"/>
      <c r="AT111" s="131"/>
      <c r="AU111" s="131"/>
    </row>
    <row r="112" spans="1:69" ht="109.9" customHeight="1" x14ac:dyDescent="0.35">
      <c r="A112" s="143"/>
      <c r="B112" s="144"/>
      <c r="C112" s="145"/>
      <c r="D112" s="146"/>
      <c r="E112" s="147"/>
      <c r="F112" s="147"/>
      <c r="G112" s="147"/>
      <c r="H112" s="147"/>
      <c r="I112" s="147"/>
      <c r="J112" s="147"/>
      <c r="K112" s="147"/>
      <c r="L112" s="148"/>
      <c r="M112" s="65" t="s">
        <v>204</v>
      </c>
      <c r="N112" s="58" t="s">
        <v>205</v>
      </c>
      <c r="O112" s="58" t="s">
        <v>206</v>
      </c>
      <c r="P112" s="58" t="s">
        <v>207</v>
      </c>
      <c r="Q112" s="58" t="s">
        <v>208</v>
      </c>
      <c r="R112" s="58" t="s">
        <v>209</v>
      </c>
      <c r="S112" s="58" t="s">
        <v>210</v>
      </c>
      <c r="T112" s="58" t="s">
        <v>211</v>
      </c>
      <c r="U112" s="66" t="s">
        <v>212</v>
      </c>
      <c r="V112" s="137"/>
      <c r="W112" s="137"/>
      <c r="X112" s="137"/>
      <c r="Y112" s="137"/>
      <c r="Z112" s="137"/>
      <c r="AA112" s="137"/>
      <c r="AB112" s="137"/>
      <c r="AC112" s="137"/>
      <c r="AD112" s="139"/>
      <c r="AE112" s="59"/>
      <c r="AF112" s="131"/>
      <c r="AG112" s="60"/>
      <c r="AH112" s="131"/>
      <c r="AI112" s="60"/>
      <c r="AJ112" s="131"/>
      <c r="AK112" s="60"/>
      <c r="AL112" s="131"/>
      <c r="AM112" s="60"/>
      <c r="AN112" s="131"/>
      <c r="AO112" s="131"/>
      <c r="AP112" s="131"/>
      <c r="AQ112" s="131"/>
      <c r="AR112" s="131"/>
      <c r="AS112" s="131"/>
      <c r="AT112" s="131"/>
      <c r="AU112" s="131"/>
    </row>
    <row r="113" spans="1:47" ht="109.9" customHeight="1" x14ac:dyDescent="0.35">
      <c r="A113" s="146"/>
      <c r="B113" s="147"/>
      <c r="C113" s="148"/>
      <c r="D113" s="132">
        <f>F65</f>
        <v>73244.5</v>
      </c>
      <c r="E113" s="133"/>
      <c r="F113" s="133"/>
      <c r="G113" s="133"/>
      <c r="H113" s="133"/>
      <c r="I113" s="133"/>
      <c r="J113" s="133"/>
      <c r="K113" s="133"/>
      <c r="L113" s="134"/>
      <c r="M113" s="67">
        <f>SUM(N113:U113)</f>
        <v>326908163.83000004</v>
      </c>
      <c r="N113" s="67">
        <f>N65</f>
        <v>36215718.409999996</v>
      </c>
      <c r="O113" s="61">
        <f>O65</f>
        <v>169364929.36000001</v>
      </c>
      <c r="P113" s="61"/>
      <c r="Q113" s="67">
        <f>Q65</f>
        <v>35961643.25</v>
      </c>
      <c r="R113" s="67">
        <f>R65</f>
        <v>34820815.210000001</v>
      </c>
      <c r="S113" s="67">
        <f>S65</f>
        <v>2394897.56</v>
      </c>
      <c r="T113" s="67">
        <f>T65</f>
        <v>47284936.550000004</v>
      </c>
      <c r="U113" s="67">
        <f>U65</f>
        <v>865223.49</v>
      </c>
      <c r="V113" s="58"/>
      <c r="W113" s="58">
        <f t="shared" ref="W113:AB113" si="79">W65</f>
        <v>13405652.189999999</v>
      </c>
      <c r="X113" s="61">
        <f t="shared" si="79"/>
        <v>35039573.700000003</v>
      </c>
      <c r="Y113" s="67">
        <f t="shared" si="79"/>
        <v>31007648.43</v>
      </c>
      <c r="Z113" s="67">
        <f t="shared" si="79"/>
        <v>33381394.629999999</v>
      </c>
      <c r="AA113" s="67">
        <f t="shared" si="79"/>
        <v>30080436.599999998</v>
      </c>
      <c r="AB113" s="67">
        <f t="shared" si="79"/>
        <v>6596136.4700000016</v>
      </c>
      <c r="AC113" s="61">
        <f>AB113+AA113+Z113+Y113+X113+W113+V113+M113</f>
        <v>476419005.85000002</v>
      </c>
      <c r="AD113" s="62" t="s">
        <v>218</v>
      </c>
      <c r="AE113" s="68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135"/>
      <c r="AR113" s="135"/>
      <c r="AS113" s="135"/>
      <c r="AT113" s="135"/>
      <c r="AU113" s="135"/>
    </row>
    <row r="114" spans="1:47" ht="109.9" customHeight="1" x14ac:dyDescent="0.35">
      <c r="A114" s="140" t="s">
        <v>219</v>
      </c>
      <c r="B114" s="141"/>
      <c r="C114" s="142"/>
      <c r="D114" s="140" t="s">
        <v>220</v>
      </c>
      <c r="E114" s="141"/>
      <c r="F114" s="141"/>
      <c r="G114" s="141"/>
      <c r="H114" s="141"/>
      <c r="I114" s="141"/>
      <c r="J114" s="141"/>
      <c r="K114" s="141"/>
      <c r="L114" s="142"/>
      <c r="M114" s="149" t="s">
        <v>195</v>
      </c>
      <c r="N114" s="149"/>
      <c r="O114" s="149"/>
      <c r="P114" s="149"/>
      <c r="Q114" s="149"/>
      <c r="R114" s="149"/>
      <c r="S114" s="149"/>
      <c r="T114" s="149"/>
      <c r="U114" s="150"/>
      <c r="V114" s="137" t="s">
        <v>36</v>
      </c>
      <c r="W114" s="137" t="s">
        <v>221</v>
      </c>
      <c r="X114" s="137" t="s">
        <v>222</v>
      </c>
      <c r="Y114" s="137" t="s">
        <v>199</v>
      </c>
      <c r="Z114" s="137" t="s">
        <v>200</v>
      </c>
      <c r="AA114" s="137" t="s">
        <v>201</v>
      </c>
      <c r="AB114" s="137" t="s">
        <v>84</v>
      </c>
      <c r="AC114" s="137" t="s">
        <v>39</v>
      </c>
      <c r="AD114" s="138" t="s">
        <v>203</v>
      </c>
      <c r="AE114" s="59"/>
      <c r="AF114" s="131"/>
      <c r="AG114" s="60"/>
      <c r="AH114" s="131"/>
      <c r="AI114" s="60"/>
      <c r="AJ114" s="131"/>
      <c r="AK114" s="60"/>
      <c r="AL114" s="131"/>
      <c r="AM114" s="60"/>
      <c r="AN114" s="131"/>
      <c r="AO114" s="131"/>
      <c r="AP114" s="131"/>
      <c r="AQ114" s="131"/>
      <c r="AR114" s="131"/>
      <c r="AS114" s="131"/>
      <c r="AT114" s="131"/>
      <c r="AU114" s="131"/>
    </row>
    <row r="115" spans="1:47" ht="109.9" customHeight="1" x14ac:dyDescent="0.35">
      <c r="A115" s="143"/>
      <c r="B115" s="144"/>
      <c r="C115" s="145"/>
      <c r="D115" s="146"/>
      <c r="E115" s="147"/>
      <c r="F115" s="147"/>
      <c r="G115" s="147"/>
      <c r="H115" s="147"/>
      <c r="I115" s="147"/>
      <c r="J115" s="147"/>
      <c r="K115" s="147"/>
      <c r="L115" s="148"/>
      <c r="M115" s="65" t="s">
        <v>204</v>
      </c>
      <c r="N115" s="58" t="s">
        <v>205</v>
      </c>
      <c r="O115" s="58" t="s">
        <v>206</v>
      </c>
      <c r="P115" s="58" t="s">
        <v>207</v>
      </c>
      <c r="Q115" s="58" t="s">
        <v>208</v>
      </c>
      <c r="R115" s="58" t="s">
        <v>209</v>
      </c>
      <c r="S115" s="58" t="s">
        <v>210</v>
      </c>
      <c r="T115" s="58" t="s">
        <v>211</v>
      </c>
      <c r="U115" s="66" t="s">
        <v>212</v>
      </c>
      <c r="V115" s="137"/>
      <c r="W115" s="137"/>
      <c r="X115" s="137"/>
      <c r="Y115" s="137"/>
      <c r="Z115" s="137"/>
      <c r="AA115" s="137"/>
      <c r="AB115" s="137"/>
      <c r="AC115" s="137"/>
      <c r="AD115" s="139"/>
      <c r="AE115" s="59"/>
      <c r="AF115" s="131"/>
      <c r="AG115" s="60"/>
      <c r="AH115" s="131"/>
      <c r="AI115" s="60"/>
      <c r="AJ115" s="131"/>
      <c r="AK115" s="60"/>
      <c r="AL115" s="131"/>
      <c r="AM115" s="60"/>
      <c r="AN115" s="131"/>
      <c r="AO115" s="131"/>
      <c r="AP115" s="131"/>
      <c r="AQ115" s="131"/>
      <c r="AR115" s="131"/>
      <c r="AS115" s="131"/>
      <c r="AT115" s="131"/>
      <c r="AU115" s="131"/>
    </row>
    <row r="116" spans="1:47" ht="109.9" customHeight="1" x14ac:dyDescent="0.35">
      <c r="A116" s="146"/>
      <c r="B116" s="147"/>
      <c r="C116" s="148"/>
      <c r="D116" s="132">
        <f>F104</f>
        <v>129482.40000000002</v>
      </c>
      <c r="E116" s="133"/>
      <c r="F116" s="133"/>
      <c r="G116" s="133"/>
      <c r="H116" s="133"/>
      <c r="I116" s="133"/>
      <c r="J116" s="133"/>
      <c r="K116" s="133"/>
      <c r="L116" s="134"/>
      <c r="M116" s="61">
        <f>SUM(N116:U116)</f>
        <v>142942902.16999999</v>
      </c>
      <c r="N116" s="61">
        <f t="shared" ref="N116:U116" si="80">N104</f>
        <v>13750509.530000001</v>
      </c>
      <c r="O116" s="61">
        <f t="shared" si="80"/>
        <v>86447108.86999999</v>
      </c>
      <c r="P116" s="61"/>
      <c r="Q116" s="61">
        <f t="shared" si="80"/>
        <v>13806562.6</v>
      </c>
      <c r="R116" s="61">
        <f t="shared" si="80"/>
        <v>10773510.73</v>
      </c>
      <c r="S116" s="61"/>
      <c r="T116" s="61">
        <f t="shared" si="80"/>
        <v>17106486.600000001</v>
      </c>
      <c r="U116" s="61">
        <f t="shared" si="80"/>
        <v>1058723.8400000001</v>
      </c>
      <c r="V116" s="58"/>
      <c r="W116" s="58">
        <f t="shared" ref="W116:AB116" si="81">W104</f>
        <v>167656072.71000004</v>
      </c>
      <c r="X116" s="61">
        <f t="shared" si="81"/>
        <v>19097395.490000002</v>
      </c>
      <c r="Y116" s="61">
        <f t="shared" si="81"/>
        <v>153935140.07999998</v>
      </c>
      <c r="Z116" s="61">
        <f t="shared" si="81"/>
        <v>30110846.110000003</v>
      </c>
      <c r="AA116" s="61">
        <f t="shared" si="81"/>
        <v>40594028.799999997</v>
      </c>
      <c r="AB116" s="61">
        <f t="shared" si="81"/>
        <v>7706135.3499999987</v>
      </c>
      <c r="AC116" s="61">
        <f>AB116+AA116+Z116+Y116+X116+W116+V116+M116</f>
        <v>562042520.71000004</v>
      </c>
      <c r="AD116" s="62" t="s">
        <v>223</v>
      </c>
      <c r="AE116" s="63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135"/>
      <c r="AR116" s="135"/>
      <c r="AS116" s="135"/>
      <c r="AT116" s="135"/>
      <c r="AU116" s="135"/>
    </row>
    <row r="117" spans="1:47" s="12" customFormat="1" ht="81.599999999999994" customHeight="1" x14ac:dyDescent="0.9">
      <c r="A117" s="70" t="s">
        <v>47</v>
      </c>
      <c r="B117" s="70"/>
      <c r="C117" s="70"/>
      <c r="D117" s="70"/>
      <c r="E117" s="70"/>
      <c r="F117" s="71"/>
      <c r="G117" s="72"/>
      <c r="H117" s="72"/>
      <c r="I117" s="70"/>
      <c r="J117" s="73"/>
      <c r="K117" s="74"/>
      <c r="L117" s="70"/>
      <c r="M117" s="70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6"/>
      <c r="AO117" s="70"/>
      <c r="AP117" s="70"/>
      <c r="AQ117" s="70"/>
      <c r="AR117" s="70"/>
      <c r="AS117" s="77"/>
      <c r="AT117" s="77"/>
      <c r="AU117" s="77"/>
    </row>
    <row r="118" spans="1:47" s="12" customFormat="1" ht="64.5" x14ac:dyDescent="0.9">
      <c r="A118" s="70" t="s">
        <v>48</v>
      </c>
      <c r="B118" s="70"/>
      <c r="C118" s="70"/>
      <c r="D118" s="70"/>
      <c r="E118" s="70"/>
      <c r="F118" s="71"/>
      <c r="G118" s="72"/>
      <c r="H118" s="72"/>
      <c r="I118" s="70"/>
      <c r="J118" s="73"/>
      <c r="K118" s="74"/>
      <c r="L118" s="70"/>
      <c r="M118" s="70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6"/>
      <c r="AO118" s="70"/>
      <c r="AP118" s="70"/>
      <c r="AQ118" s="70"/>
      <c r="AR118" s="70"/>
      <c r="AS118" s="77"/>
      <c r="AT118" s="77"/>
      <c r="AU118" s="77"/>
    </row>
    <row r="119" spans="1:47" ht="65.25" x14ac:dyDescent="0.95">
      <c r="A119" s="129" t="s">
        <v>49</v>
      </c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  <c r="AF119" s="129"/>
      <c r="AG119" s="129"/>
      <c r="AH119" s="129"/>
      <c r="AI119" s="78"/>
      <c r="AJ119" s="78"/>
      <c r="AK119" s="78"/>
      <c r="AL119" s="78"/>
      <c r="AM119" s="78"/>
      <c r="AN119" s="79"/>
      <c r="AO119" s="70"/>
      <c r="AP119" s="70"/>
      <c r="AQ119" s="70"/>
      <c r="AR119" s="70"/>
      <c r="AS119" s="77"/>
      <c r="AT119" s="77"/>
      <c r="AU119" s="77"/>
    </row>
    <row r="120" spans="1:47" ht="65.25" x14ac:dyDescent="0.95">
      <c r="A120" s="128" t="s">
        <v>224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81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9"/>
      <c r="AO120" s="82"/>
      <c r="AP120" s="82"/>
      <c r="AQ120" s="82"/>
      <c r="AR120" s="82"/>
      <c r="AS120" s="77"/>
      <c r="AT120" s="77"/>
      <c r="AU120" s="77"/>
    </row>
    <row r="121" spans="1:47" ht="65.25" x14ac:dyDescent="0.95">
      <c r="A121" s="128" t="s">
        <v>225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80"/>
      <c r="AN121" s="79"/>
      <c r="AO121" s="82"/>
      <c r="AP121" s="82"/>
      <c r="AQ121" s="82"/>
      <c r="AR121" s="82"/>
      <c r="AS121" s="77"/>
      <c r="AT121" s="77"/>
      <c r="AU121" s="77"/>
    </row>
    <row r="122" spans="1:47" ht="65.25" x14ac:dyDescent="0.95">
      <c r="A122" s="82" t="s">
        <v>50</v>
      </c>
      <c r="B122" s="82"/>
      <c r="C122" s="70"/>
      <c r="D122" s="82"/>
      <c r="E122" s="82"/>
      <c r="F122" s="72"/>
      <c r="G122" s="72"/>
      <c r="H122" s="72"/>
      <c r="I122" s="82"/>
      <c r="J122" s="82"/>
      <c r="K122" s="74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9"/>
      <c r="AO122" s="82"/>
      <c r="AP122" s="82"/>
      <c r="AQ122" s="82"/>
      <c r="AR122" s="82"/>
      <c r="AS122" s="83"/>
      <c r="AT122" s="83"/>
      <c r="AU122" s="83"/>
    </row>
    <row r="123" spans="1:47" ht="65.25" x14ac:dyDescent="0.95">
      <c r="A123" s="129" t="s">
        <v>51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78"/>
      <c r="AJ123" s="78"/>
      <c r="AK123" s="78"/>
      <c r="AL123" s="78"/>
      <c r="AM123" s="78"/>
      <c r="AN123" s="79"/>
      <c r="AO123" s="82"/>
      <c r="AP123" s="82"/>
      <c r="AQ123" s="82"/>
      <c r="AR123" s="82"/>
      <c r="AS123" s="83"/>
      <c r="AT123" s="83"/>
      <c r="AU123" s="83"/>
    </row>
    <row r="124" spans="1:47" ht="130.15" customHeight="1" x14ac:dyDescent="0.9">
      <c r="A124" s="128" t="s">
        <v>226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82"/>
      <c r="AJ124" s="82"/>
      <c r="AK124" s="82"/>
      <c r="AL124" s="82"/>
      <c r="AM124" s="82"/>
      <c r="AN124" s="84"/>
      <c r="AO124" s="82"/>
      <c r="AP124" s="82"/>
      <c r="AQ124" s="82"/>
      <c r="AR124" s="82"/>
      <c r="AS124" s="83"/>
      <c r="AT124" s="83"/>
      <c r="AU124" s="83"/>
    </row>
    <row r="125" spans="1:47" ht="51.6" customHeight="1" x14ac:dyDescent="0.9">
      <c r="A125" s="82" t="s">
        <v>53</v>
      </c>
      <c r="B125" s="82"/>
      <c r="C125" s="70"/>
      <c r="D125" s="82"/>
      <c r="E125" s="82"/>
      <c r="F125" s="72"/>
      <c r="G125" s="72"/>
      <c r="H125" s="72"/>
      <c r="I125" s="82"/>
      <c r="J125" s="82"/>
      <c r="K125" s="74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4"/>
      <c r="AO125" s="82"/>
      <c r="AP125" s="82"/>
      <c r="AQ125" s="82"/>
      <c r="AR125" s="82"/>
      <c r="AS125" s="83"/>
      <c r="AT125" s="83"/>
      <c r="AU125" s="83"/>
    </row>
    <row r="126" spans="1:47" ht="65.25" x14ac:dyDescent="0.95">
      <c r="A126" s="70" t="s">
        <v>52</v>
      </c>
      <c r="B126" s="70"/>
      <c r="C126" s="70"/>
      <c r="D126" s="70"/>
      <c r="E126" s="70"/>
      <c r="F126" s="72"/>
      <c r="G126" s="72"/>
      <c r="H126" s="72"/>
      <c r="I126" s="70"/>
      <c r="J126" s="85"/>
      <c r="K126" s="86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9"/>
      <c r="AO126" s="82"/>
      <c r="AP126" s="82"/>
      <c r="AQ126" s="82"/>
      <c r="AR126" s="82"/>
      <c r="AS126" s="83"/>
      <c r="AT126" s="83"/>
      <c r="AU126" s="83"/>
    </row>
    <row r="127" spans="1:47" ht="64.5" x14ac:dyDescent="0.9">
      <c r="A127" s="129" t="s">
        <v>54</v>
      </c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82"/>
      <c r="AJ127" s="82"/>
      <c r="AK127" s="82"/>
      <c r="AL127" s="82"/>
      <c r="AM127" s="82"/>
      <c r="AN127" s="84"/>
      <c r="AO127" s="82"/>
      <c r="AP127" s="82"/>
      <c r="AQ127" s="82"/>
      <c r="AR127" s="82"/>
      <c r="AS127" s="83"/>
      <c r="AT127" s="83"/>
      <c r="AU127" s="83"/>
    </row>
    <row r="128" spans="1:47" ht="64.5" x14ac:dyDescent="0.9">
      <c r="A128" s="130" t="s">
        <v>55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87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9"/>
      <c r="AO128" s="88"/>
      <c r="AP128" s="88"/>
      <c r="AQ128" s="88"/>
      <c r="AR128" s="88"/>
      <c r="AS128" s="90"/>
      <c r="AT128" s="90"/>
      <c r="AU128" s="90"/>
    </row>
    <row r="129" spans="1:47" ht="64.5" x14ac:dyDescent="0.9">
      <c r="A129" s="130" t="s">
        <v>227</v>
      </c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87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9"/>
      <c r="AO129" s="88"/>
      <c r="AP129" s="88"/>
      <c r="AQ129" s="88"/>
      <c r="AR129" s="88"/>
      <c r="AS129" s="90"/>
      <c r="AT129" s="90"/>
      <c r="AU129" s="90"/>
    </row>
    <row r="130" spans="1:47" ht="64.5" x14ac:dyDescent="0.9">
      <c r="A130" s="82" t="s">
        <v>56</v>
      </c>
      <c r="B130" s="82"/>
      <c r="C130" s="70"/>
      <c r="D130" s="82"/>
      <c r="E130" s="82"/>
      <c r="F130" s="72"/>
      <c r="G130" s="72"/>
      <c r="H130" s="72"/>
      <c r="I130" s="82"/>
      <c r="J130" s="82"/>
      <c r="K130" s="74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4"/>
      <c r="AO130" s="82"/>
      <c r="AP130" s="82"/>
      <c r="AQ130" s="82"/>
      <c r="AR130" s="82"/>
      <c r="AS130" s="83"/>
      <c r="AT130" s="83"/>
      <c r="AU130" s="83"/>
    </row>
    <row r="131" spans="1:47" ht="65.25" x14ac:dyDescent="0.95">
      <c r="A131" s="82" t="s">
        <v>57</v>
      </c>
      <c r="B131" s="82"/>
      <c r="C131" s="70"/>
      <c r="D131" s="82"/>
      <c r="E131" s="82"/>
      <c r="F131" s="72"/>
      <c r="G131" s="72"/>
      <c r="H131" s="72"/>
      <c r="I131" s="82"/>
      <c r="J131" s="82"/>
      <c r="K131" s="74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9"/>
      <c r="AO131" s="78"/>
      <c r="AP131" s="78"/>
      <c r="AQ131" s="78"/>
      <c r="AR131" s="78"/>
      <c r="AS131" s="12"/>
      <c r="AT131" s="12"/>
      <c r="AU131" s="12"/>
    </row>
    <row r="132" spans="1:47" ht="64.5" x14ac:dyDescent="0.35">
      <c r="A132" s="128" t="s">
        <v>228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"/>
      <c r="AT132" s="12"/>
      <c r="AU132" s="12"/>
    </row>
    <row r="133" spans="1:47" ht="65.25" x14ac:dyDescent="0.95">
      <c r="A133" s="70" t="s">
        <v>229</v>
      </c>
      <c r="B133" s="70"/>
      <c r="C133" s="70"/>
      <c r="D133" s="70"/>
      <c r="E133" s="70"/>
      <c r="F133" s="91"/>
      <c r="G133" s="92"/>
      <c r="H133" s="72"/>
      <c r="I133" s="70"/>
      <c r="J133" s="93"/>
      <c r="K133" s="74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94"/>
      <c r="AA133" s="94"/>
      <c r="AB133" s="94"/>
      <c r="AC133" s="94"/>
      <c r="AD133" s="94"/>
      <c r="AE133" s="94"/>
      <c r="AF133" s="94"/>
      <c r="AG133" s="94"/>
      <c r="AH133" s="94"/>
      <c r="AI133" s="78"/>
      <c r="AJ133" s="78"/>
      <c r="AK133" s="78"/>
      <c r="AL133" s="78"/>
      <c r="AM133" s="78"/>
      <c r="AN133" s="79"/>
      <c r="AO133" s="78"/>
      <c r="AP133" s="78"/>
      <c r="AQ133" s="78"/>
      <c r="AR133" s="78"/>
      <c r="AS133" s="12"/>
      <c r="AT133" s="12"/>
      <c r="AU133" s="12"/>
    </row>
    <row r="135" spans="1:47" x14ac:dyDescent="0.35"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</row>
  </sheetData>
  <mergeCells count="126">
    <mergeCell ref="AA2:AH2"/>
    <mergeCell ref="AA3:AH3"/>
    <mergeCell ref="AA4:AH4"/>
    <mergeCell ref="AA5:AH5"/>
    <mergeCell ref="A7:AH7"/>
    <mergeCell ref="A9:A11"/>
    <mergeCell ref="B9:B11"/>
    <mergeCell ref="C9:C11"/>
    <mergeCell ref="D9:D11"/>
    <mergeCell ref="E9:E11"/>
    <mergeCell ref="M9:AB9"/>
    <mergeCell ref="AC9:AF9"/>
    <mergeCell ref="AG9:AG11"/>
    <mergeCell ref="AH9:AH11"/>
    <mergeCell ref="G10:G11"/>
    <mergeCell ref="H10:H11"/>
    <mergeCell ref="M10:U10"/>
    <mergeCell ref="V10:V11"/>
    <mergeCell ref="W10:W11"/>
    <mergeCell ref="X10:X11"/>
    <mergeCell ref="G9:H9"/>
    <mergeCell ref="I9:I11"/>
    <mergeCell ref="J9:J11"/>
    <mergeCell ref="K9:K11"/>
    <mergeCell ref="L9:L11"/>
    <mergeCell ref="AE10:AE11"/>
    <mergeCell ref="AF10:AF11"/>
    <mergeCell ref="A13:AH13"/>
    <mergeCell ref="A43:C43"/>
    <mergeCell ref="A44:AH44"/>
    <mergeCell ref="A65:C65"/>
    <mergeCell ref="Y10:Y11"/>
    <mergeCell ref="Z10:Z11"/>
    <mergeCell ref="AA10:AA11"/>
    <mergeCell ref="AB10:AB11"/>
    <mergeCell ref="AC10:AC11"/>
    <mergeCell ref="AD10:AD11"/>
    <mergeCell ref="F9:F11"/>
    <mergeCell ref="AI90:BD90"/>
    <mergeCell ref="AI91:BI91"/>
    <mergeCell ref="AI96:AR96"/>
    <mergeCell ref="AI103:AX103"/>
    <mergeCell ref="A104:C104"/>
    <mergeCell ref="A105:C105"/>
    <mergeCell ref="A66:AH66"/>
    <mergeCell ref="AI71:BC71"/>
    <mergeCell ref="AI72:AZ72"/>
    <mergeCell ref="AI84:BN84"/>
    <mergeCell ref="AI85:AQ85"/>
    <mergeCell ref="AI88:AL88"/>
    <mergeCell ref="A107:AD107"/>
    <mergeCell ref="A108:C110"/>
    <mergeCell ref="D108:L109"/>
    <mergeCell ref="M108:U108"/>
    <mergeCell ref="V108:V109"/>
    <mergeCell ref="W108:W109"/>
    <mergeCell ref="X108:X109"/>
    <mergeCell ref="Y108:Y109"/>
    <mergeCell ref="Z108:Z109"/>
    <mergeCell ref="AA108:AA109"/>
    <mergeCell ref="AQ108:AU109"/>
    <mergeCell ref="D110:L110"/>
    <mergeCell ref="AQ110:AU110"/>
    <mergeCell ref="AB108:AB109"/>
    <mergeCell ref="AC108:AC109"/>
    <mergeCell ref="AD108:AD109"/>
    <mergeCell ref="AF108:AF109"/>
    <mergeCell ref="AH108:AH109"/>
    <mergeCell ref="AJ108:AJ109"/>
    <mergeCell ref="D111:L112"/>
    <mergeCell ref="M111:U111"/>
    <mergeCell ref="V111:V112"/>
    <mergeCell ref="W111:W112"/>
    <mergeCell ref="X111:X112"/>
    <mergeCell ref="AL108:AL109"/>
    <mergeCell ref="AN108:AN109"/>
    <mergeCell ref="AO108:AO109"/>
    <mergeCell ref="AP108:AP109"/>
    <mergeCell ref="AD114:AD115"/>
    <mergeCell ref="AP111:AP112"/>
    <mergeCell ref="AQ111:AU112"/>
    <mergeCell ref="D113:L113"/>
    <mergeCell ref="AQ113:AU113"/>
    <mergeCell ref="A114:C116"/>
    <mergeCell ref="D114:L115"/>
    <mergeCell ref="M114:U114"/>
    <mergeCell ref="V114:V115"/>
    <mergeCell ref="W114:W115"/>
    <mergeCell ref="X114:X115"/>
    <mergeCell ref="AF111:AF112"/>
    <mergeCell ref="AH111:AH112"/>
    <mergeCell ref="AJ111:AJ112"/>
    <mergeCell ref="AL111:AL112"/>
    <mergeCell ref="AN111:AN112"/>
    <mergeCell ref="AO111:AO112"/>
    <mergeCell ref="Y111:Y112"/>
    <mergeCell ref="Z111:Z112"/>
    <mergeCell ref="AA111:AA112"/>
    <mergeCell ref="AB111:AB112"/>
    <mergeCell ref="AC111:AC112"/>
    <mergeCell ref="AD111:AD112"/>
    <mergeCell ref="A111:C113"/>
    <mergeCell ref="A132:AR132"/>
    <mergeCell ref="A121:AL121"/>
    <mergeCell ref="A123:AH123"/>
    <mergeCell ref="A124:AH124"/>
    <mergeCell ref="A127:AH127"/>
    <mergeCell ref="A128:Z128"/>
    <mergeCell ref="A129:T129"/>
    <mergeCell ref="AP114:AP115"/>
    <mergeCell ref="AQ114:AU115"/>
    <mergeCell ref="D116:L116"/>
    <mergeCell ref="AQ116:AU116"/>
    <mergeCell ref="A119:AH119"/>
    <mergeCell ref="A120:AB120"/>
    <mergeCell ref="AF114:AF115"/>
    <mergeCell ref="AH114:AH115"/>
    <mergeCell ref="AJ114:AJ115"/>
    <mergeCell ref="AL114:AL115"/>
    <mergeCell ref="AN114:AN115"/>
    <mergeCell ref="AO114:AO115"/>
    <mergeCell ref="Y114:Y115"/>
    <mergeCell ref="Z114:Z115"/>
    <mergeCell ref="AA114:AA115"/>
    <mergeCell ref="AB114:AB115"/>
    <mergeCell ref="AC114:AC11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ХХХХХХ</vt:lpstr>
      <vt:lpstr>КР 2023-2025</vt:lpstr>
      <vt:lpstr>ХХХХХХ!Заголовки_для_печати</vt:lpstr>
      <vt:lpstr>ХХХХХХ!Область_печати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Стеценко Татьяна Николаевна</cp:lastModifiedBy>
  <cp:lastPrinted>2022-10-20T14:11:30Z</cp:lastPrinted>
  <dcterms:created xsi:type="dcterms:W3CDTF">2022-01-20T06:29:00Z</dcterms:created>
  <dcterms:modified xsi:type="dcterms:W3CDTF">2022-10-24T09:40:26Z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1049-11.2.0.10463</vt:lpwstr>
  </property>
  <property fmtid="{D5CDD505-2E9C-101B-9397-08002B2CF9AE}" pid="3" name="ICV">
    <vt:lpwstr>14D3FB8FE3C14CB286E03BDC5894AE72</vt:lpwstr>
  </property>
</Properties>
</file>