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3250" windowHeight="12555" tabRatio="683"/>
  </bookViews>
  <sheets>
    <sheet name="Основной отчет" sheetId="1" r:id="rId1"/>
    <sheet name="Показатели" sheetId="2" r:id="rId2"/>
    <sheet name="Финансовая поддержка" sheetId="3" r:id="rId3"/>
    <sheet name="Оценка эффективности" sheetId="4" r:id="rId4"/>
    <sheet name="Лист1" sheetId="5" r:id="rId5"/>
  </sheets>
  <definedNames>
    <definedName name="_ftn1" localSheetId="0">'Основной отчет'!$C$9</definedName>
    <definedName name="_ftn2" localSheetId="0">'Основной отчет'!$C$10</definedName>
    <definedName name="_ftnref1" localSheetId="0">'Основной отчет'!$D$6</definedName>
    <definedName name="_ftnref2" localSheetId="0">'Основной отчет'!$E$6</definedName>
  </definedNames>
  <calcPr calcId="152511"/>
</workbook>
</file>

<file path=xl/calcChain.xml><?xml version="1.0" encoding="utf-8"?>
<calcChain xmlns="http://schemas.openxmlformats.org/spreadsheetml/2006/main">
  <c r="N32" i="2" l="1"/>
  <c r="M32" i="2"/>
  <c r="E64" i="1" l="1"/>
  <c r="M7" i="2" l="1"/>
  <c r="F203" i="1"/>
  <c r="I22" i="2"/>
  <c r="E198" i="1" l="1"/>
  <c r="E297" i="1"/>
  <c r="D297" i="1"/>
  <c r="E292" i="1"/>
  <c r="D292" i="1"/>
  <c r="E287" i="1"/>
  <c r="D287" i="1"/>
  <c r="E282" i="1"/>
  <c r="D282" i="1"/>
  <c r="E277" i="1"/>
  <c r="D277" i="1"/>
  <c r="E276" i="1"/>
  <c r="E271" i="1" s="1"/>
  <c r="D276" i="1"/>
  <c r="E275" i="1"/>
  <c r="E270" i="1" s="1"/>
  <c r="D275" i="1"/>
  <c r="E274" i="1"/>
  <c r="E269" i="1" s="1"/>
  <c r="E29" i="1" s="1"/>
  <c r="D274" i="1"/>
  <c r="D269" i="1" s="1"/>
  <c r="E273" i="1"/>
  <c r="D273" i="1"/>
  <c r="D268" i="1" s="1"/>
  <c r="E262" i="1"/>
  <c r="D262" i="1"/>
  <c r="E257" i="1"/>
  <c r="D257" i="1"/>
  <c r="E252" i="1"/>
  <c r="D252" i="1"/>
  <c r="E247" i="1"/>
  <c r="D247" i="1"/>
  <c r="E242" i="1"/>
  <c r="E237" i="1"/>
  <c r="D237" i="1"/>
  <c r="E236" i="1"/>
  <c r="E231" i="1" s="1"/>
  <c r="E235" i="1"/>
  <c r="E230" i="1" s="1"/>
  <c r="E234" i="1"/>
  <c r="E229" i="1" s="1"/>
  <c r="D234" i="1"/>
  <c r="E233" i="1"/>
  <c r="D233" i="1"/>
  <c r="D228" i="1" s="1"/>
  <c r="E222" i="1"/>
  <c r="D222" i="1"/>
  <c r="E221" i="1"/>
  <c r="E220" i="1"/>
  <c r="E219" i="1"/>
  <c r="D219" i="1"/>
  <c r="D217" i="1" s="1"/>
  <c r="E218" i="1"/>
  <c r="E212" i="1"/>
  <c r="D212" i="1"/>
  <c r="E211" i="1"/>
  <c r="E210" i="1"/>
  <c r="E209" i="1"/>
  <c r="E39" i="1" s="1"/>
  <c r="D209" i="1"/>
  <c r="E208" i="1"/>
  <c r="D208" i="1"/>
  <c r="E202" i="1"/>
  <c r="D202" i="1"/>
  <c r="E201" i="1"/>
  <c r="E200" i="1"/>
  <c r="E199" i="1"/>
  <c r="D198" i="1"/>
  <c r="D197" i="1" s="1"/>
  <c r="E192" i="1"/>
  <c r="D192" i="1"/>
  <c r="E191" i="1"/>
  <c r="E190" i="1"/>
  <c r="E189" i="1"/>
  <c r="D189" i="1"/>
  <c r="D187" i="1" s="1"/>
  <c r="E188" i="1"/>
  <c r="E182" i="1"/>
  <c r="D182" i="1"/>
  <c r="D178" i="1"/>
  <c r="D177" i="1" s="1"/>
  <c r="E177" i="1"/>
  <c r="D173" i="1"/>
  <c r="D172" i="1" s="1"/>
  <c r="E172" i="1"/>
  <c r="D168" i="1"/>
  <c r="E167" i="1"/>
  <c r="E166" i="1"/>
  <c r="E165" i="1"/>
  <c r="E164" i="1"/>
  <c r="E163" i="1"/>
  <c r="E157" i="1"/>
  <c r="D157" i="1"/>
  <c r="E152" i="1"/>
  <c r="D152" i="1"/>
  <c r="D148" i="1"/>
  <c r="D147" i="1" s="1"/>
  <c r="E147" i="1"/>
  <c r="E146" i="1"/>
  <c r="E145" i="1"/>
  <c r="E144" i="1"/>
  <c r="E143" i="1"/>
  <c r="D138" i="1"/>
  <c r="D137" i="1" s="1"/>
  <c r="E137" i="1"/>
  <c r="D132" i="1"/>
  <c r="E127" i="1"/>
  <c r="D127" i="1"/>
  <c r="D123" i="1"/>
  <c r="D122" i="1" s="1"/>
  <c r="E122" i="1"/>
  <c r="E121" i="1"/>
  <c r="E120" i="1"/>
  <c r="E119" i="1"/>
  <c r="D119" i="1"/>
  <c r="E118" i="1"/>
  <c r="D116" i="1"/>
  <c r="D115" i="1"/>
  <c r="E107" i="1"/>
  <c r="D107" i="1"/>
  <c r="E102" i="1"/>
  <c r="E97" i="1"/>
  <c r="D97" i="1"/>
  <c r="E92" i="1"/>
  <c r="D92" i="1"/>
  <c r="E91" i="1"/>
  <c r="E90" i="1"/>
  <c r="E80" i="1" s="1"/>
  <c r="D87" i="1"/>
  <c r="E82" i="1"/>
  <c r="D82" i="1"/>
  <c r="E79" i="1"/>
  <c r="D79" i="1"/>
  <c r="E78" i="1"/>
  <c r="D78" i="1"/>
  <c r="E72" i="1"/>
  <c r="D72" i="1"/>
  <c r="E67" i="1"/>
  <c r="D67" i="1"/>
  <c r="E62" i="1"/>
  <c r="D62" i="1"/>
  <c r="E61" i="1"/>
  <c r="E60" i="1"/>
  <c r="D60" i="1"/>
  <c r="D59" i="1"/>
  <c r="D54" i="1" s="1"/>
  <c r="D49" i="1" s="1"/>
  <c r="E58" i="1"/>
  <c r="D58" i="1"/>
  <c r="D53" i="1" s="1"/>
  <c r="E56" i="1"/>
  <c r="E55" i="1"/>
  <c r="E53" i="1"/>
  <c r="D50" i="1"/>
  <c r="E42" i="1"/>
  <c r="E34" i="1"/>
  <c r="E32" i="1" s="1"/>
  <c r="E24" i="1"/>
  <c r="E23" i="1"/>
  <c r="E19" i="1"/>
  <c r="E17" i="1" s="1"/>
  <c r="E13" i="1"/>
  <c r="F109" i="1"/>
  <c r="F198" i="1" l="1"/>
  <c r="F202" i="1"/>
  <c r="E272" i="1"/>
  <c r="E268" i="1"/>
  <c r="E28" i="1" s="1"/>
  <c r="E27" i="1" s="1"/>
  <c r="E22" i="1"/>
  <c r="D114" i="1"/>
  <c r="E48" i="1"/>
  <c r="E232" i="1"/>
  <c r="D232" i="1"/>
  <c r="D207" i="1"/>
  <c r="D163" i="1"/>
  <c r="D162" i="1" s="1"/>
  <c r="F107" i="1"/>
  <c r="D118" i="1"/>
  <c r="E115" i="1"/>
  <c r="E142" i="1"/>
  <c r="D272" i="1"/>
  <c r="D77" i="1"/>
  <c r="E50" i="1"/>
  <c r="D52" i="1"/>
  <c r="E77" i="1"/>
  <c r="D48" i="1"/>
  <c r="E117" i="1"/>
  <c r="E116" i="1"/>
  <c r="D57" i="1"/>
  <c r="E162" i="1"/>
  <c r="D167" i="1"/>
  <c r="E197" i="1"/>
  <c r="F197" i="1" s="1"/>
  <c r="E228" i="1"/>
  <c r="D267" i="1"/>
  <c r="E87" i="1"/>
  <c r="E207" i="1"/>
  <c r="E267" i="1"/>
  <c r="E59" i="1"/>
  <c r="E57" i="1" s="1"/>
  <c r="D117" i="1"/>
  <c r="E187" i="1"/>
  <c r="E217" i="1"/>
  <c r="D229" i="1"/>
  <c r="D227" i="1" s="1"/>
  <c r="E114" i="1"/>
  <c r="E38" i="1"/>
  <c r="E37" i="1" s="1"/>
  <c r="E81" i="1"/>
  <c r="E51" i="1" s="1"/>
  <c r="D143" i="1"/>
  <c r="D142" i="1" s="1"/>
  <c r="E54" i="1"/>
  <c r="E52" i="1" s="1"/>
  <c r="E113" i="1"/>
  <c r="E7" i="4"/>
  <c r="E6" i="4"/>
  <c r="N35" i="2"/>
  <c r="N37" i="2"/>
  <c r="N23" i="2"/>
  <c r="N24" i="2"/>
  <c r="N25" i="2"/>
  <c r="N26" i="2"/>
  <c r="N27" i="2"/>
  <c r="N28" i="2"/>
  <c r="N29" i="2"/>
  <c r="N30" i="2"/>
  <c r="N31" i="2"/>
  <c r="N22" i="2"/>
  <c r="N16" i="2"/>
  <c r="N17" i="2"/>
  <c r="N18" i="2"/>
  <c r="N19" i="2"/>
  <c r="N20" i="2"/>
  <c r="N15" i="2"/>
  <c r="N9" i="2"/>
  <c r="N11" i="2"/>
  <c r="N13" i="2"/>
  <c r="N8" i="2"/>
  <c r="E227" i="1" l="1"/>
  <c r="F227" i="1" s="1"/>
  <c r="F228" i="1"/>
  <c r="E11" i="1"/>
  <c r="E10" i="1"/>
  <c r="D113" i="1"/>
  <c r="D112" i="1" s="1"/>
  <c r="D47" i="1"/>
  <c r="E8" i="1"/>
  <c r="E112" i="1"/>
  <c r="E49" i="1"/>
  <c r="E14" i="1"/>
  <c r="E12" i="1" s="1"/>
  <c r="F289" i="1"/>
  <c r="I37" i="2"/>
  <c r="E9" i="1" l="1"/>
  <c r="E7" i="1" s="1"/>
  <c r="E47" i="1"/>
  <c r="I37" i="1"/>
  <c r="I27" i="1"/>
  <c r="I32" i="1"/>
  <c r="I39" i="1"/>
  <c r="I29" i="1"/>
  <c r="I22" i="1" l="1"/>
  <c r="I232" i="1"/>
  <c r="I34" i="1"/>
  <c r="H22" i="2" l="1"/>
  <c r="M22" i="2"/>
  <c r="H23" i="2"/>
  <c r="I23" i="2"/>
  <c r="M23" i="2"/>
  <c r="H24" i="2"/>
  <c r="I24" i="2"/>
  <c r="M24" i="2"/>
  <c r="H25" i="2"/>
  <c r="I25" i="2"/>
  <c r="M25" i="2"/>
  <c r="H26" i="2"/>
  <c r="I26" i="2"/>
  <c r="M26" i="2"/>
  <c r="H27" i="2"/>
  <c r="I27" i="2"/>
  <c r="M27" i="2"/>
  <c r="H28" i="2"/>
  <c r="I28" i="2"/>
  <c r="M28" i="2"/>
  <c r="H29" i="2"/>
  <c r="I29" i="2"/>
  <c r="M29" i="2"/>
  <c r="H30" i="2"/>
  <c r="I30" i="2"/>
  <c r="M30" i="2"/>
  <c r="H31" i="2"/>
  <c r="I31" i="2"/>
  <c r="M31" i="2"/>
  <c r="H15" i="2"/>
  <c r="I15" i="2"/>
  <c r="M15" i="2"/>
  <c r="H16" i="2"/>
  <c r="I16" i="2"/>
  <c r="M16" i="2"/>
  <c r="H17" i="2"/>
  <c r="I17" i="2"/>
  <c r="M17" i="2"/>
  <c r="H18" i="2"/>
  <c r="I18" i="2"/>
  <c r="M18" i="2"/>
  <c r="H19" i="2"/>
  <c r="I19" i="2"/>
  <c r="M19" i="2"/>
  <c r="M21" i="2" l="1"/>
  <c r="M13" i="2"/>
  <c r="I13" i="2"/>
  <c r="H13" i="2"/>
  <c r="H12" i="2"/>
  <c r="I12" i="2"/>
  <c r="N12" i="2" s="1"/>
  <c r="M12" i="2"/>
  <c r="I45" i="1"/>
  <c r="I43" i="1"/>
  <c r="I44" i="1"/>
  <c r="I42" i="1"/>
  <c r="I55" i="1"/>
  <c r="I54" i="1"/>
  <c r="I53" i="1"/>
  <c r="I52" i="1"/>
  <c r="I15" i="1"/>
  <c r="I14" i="1"/>
  <c r="I13" i="1"/>
  <c r="I12" i="1"/>
  <c r="I35" i="1"/>
  <c r="I33" i="1"/>
  <c r="I30" i="1"/>
  <c r="I28" i="1"/>
  <c r="I25" i="1"/>
  <c r="I24" i="1"/>
  <c r="I23" i="1"/>
  <c r="I20" i="1"/>
  <c r="I19" i="1"/>
  <c r="I18" i="1"/>
  <c r="I17" i="1"/>
  <c r="I275" i="1"/>
  <c r="I270" i="1" s="1"/>
  <c r="I274" i="1"/>
  <c r="I269" i="1" s="1"/>
  <c r="I273" i="1"/>
  <c r="I268" i="1" s="1"/>
  <c r="I272" i="1"/>
  <c r="I267" i="1" s="1"/>
  <c r="F299" i="1"/>
  <c r="F294" i="1"/>
  <c r="I235" i="1"/>
  <c r="I230" i="1" s="1"/>
  <c r="I234" i="1"/>
  <c r="I229" i="1" s="1"/>
  <c r="I233" i="1"/>
  <c r="I228" i="1" s="1"/>
  <c r="I227" i="1"/>
  <c r="F259" i="1"/>
  <c r="F238" i="1"/>
  <c r="F248" i="1"/>
  <c r="F253" i="1"/>
  <c r="I197" i="1"/>
  <c r="I217" i="1"/>
  <c r="I218" i="1"/>
  <c r="I219" i="1"/>
  <c r="I220" i="1"/>
  <c r="F224" i="1"/>
  <c r="I198" i="1"/>
  <c r="I199" i="1"/>
  <c r="I200" i="1"/>
  <c r="I207" i="1"/>
  <c r="I208" i="1"/>
  <c r="I209" i="1"/>
  <c r="I210" i="1"/>
  <c r="F214" i="1"/>
  <c r="I190" i="1"/>
  <c r="I189" i="1"/>
  <c r="I188" i="1"/>
  <c r="I187" i="1"/>
  <c r="F194" i="1"/>
  <c r="I165" i="1"/>
  <c r="I164" i="1"/>
  <c r="I163" i="1"/>
  <c r="I162" i="1"/>
  <c r="F183" i="1"/>
  <c r="F178" i="1"/>
  <c r="F173" i="1"/>
  <c r="F168" i="1"/>
  <c r="I145" i="1"/>
  <c r="I144" i="1"/>
  <c r="I143" i="1"/>
  <c r="I142" i="1"/>
  <c r="I120" i="1"/>
  <c r="F148" i="1"/>
  <c r="F153" i="1"/>
  <c r="F158" i="1"/>
  <c r="N31" i="5"/>
  <c r="M31" i="5"/>
  <c r="R30" i="5"/>
  <c r="N30" i="5"/>
  <c r="M30" i="5"/>
  <c r="R29" i="5"/>
  <c r="N29" i="5"/>
  <c r="O29" i="5" s="1"/>
  <c r="M29" i="5"/>
  <c r="R28" i="5"/>
  <c r="N28" i="5"/>
  <c r="M28" i="5"/>
  <c r="M27" i="5" s="1"/>
  <c r="R27" i="5"/>
  <c r="F138" i="1"/>
  <c r="I119" i="1"/>
  <c r="I118" i="1"/>
  <c r="I117" i="1"/>
  <c r="I80" i="1"/>
  <c r="I79" i="1"/>
  <c r="I78" i="1"/>
  <c r="I77" i="1"/>
  <c r="F123" i="1"/>
  <c r="F127" i="1"/>
  <c r="F128" i="1"/>
  <c r="F98" i="1"/>
  <c r="F84" i="1"/>
  <c r="F89" i="1"/>
  <c r="F94" i="1"/>
  <c r="F104" i="1"/>
  <c r="F69" i="1"/>
  <c r="F64" i="1"/>
  <c r="I50" i="1" l="1"/>
  <c r="I201" i="1"/>
  <c r="N27" i="5"/>
  <c r="O27" i="5" s="1"/>
  <c r="F167" i="1"/>
  <c r="F269" i="1"/>
  <c r="F274" i="1"/>
  <c r="I47" i="1"/>
  <c r="I146" i="1"/>
  <c r="I112" i="1"/>
  <c r="F237" i="1"/>
  <c r="F8" i="4"/>
  <c r="F297" i="1"/>
  <c r="I48" i="1"/>
  <c r="O28" i="5"/>
  <c r="R31" i="5"/>
  <c r="I49" i="1"/>
  <c r="I114" i="1"/>
  <c r="F147" i="1"/>
  <c r="F189" i="1"/>
  <c r="F212" i="1"/>
  <c r="I221" i="1"/>
  <c r="F292" i="1"/>
  <c r="I113" i="1"/>
  <c r="I115" i="1"/>
  <c r="F252" i="1"/>
  <c r="F247" i="1"/>
  <c r="F219" i="1"/>
  <c r="F152" i="1"/>
  <c r="F182" i="1"/>
  <c r="I191" i="1"/>
  <c r="F209" i="1"/>
  <c r="F222" i="1"/>
  <c r="I211" i="1"/>
  <c r="F192" i="1"/>
  <c r="I166" i="1"/>
  <c r="F177" i="1"/>
  <c r="F172" i="1"/>
  <c r="F163" i="1"/>
  <c r="F143" i="1"/>
  <c r="F157" i="1"/>
  <c r="F82" i="1"/>
  <c r="F137" i="1"/>
  <c r="F92" i="1"/>
  <c r="I56" i="1"/>
  <c r="F122" i="1"/>
  <c r="F59" i="1"/>
  <c r="F102" i="1"/>
  <c r="I81" i="1"/>
  <c r="F87" i="1"/>
  <c r="F78" i="1"/>
  <c r="F97" i="1"/>
  <c r="F79" i="1"/>
  <c r="I10" i="1" l="1"/>
  <c r="I51" i="1"/>
  <c r="I7" i="1"/>
  <c r="F114" i="1"/>
  <c r="F57" i="1"/>
  <c r="F217" i="1"/>
  <c r="I8" i="1"/>
  <c r="F6" i="4"/>
  <c r="I9" i="1"/>
  <c r="F162" i="1"/>
  <c r="F207" i="1"/>
  <c r="F187" i="1"/>
  <c r="F142" i="1"/>
  <c r="F77" i="1"/>
  <c r="F13" i="1" l="1"/>
  <c r="F14" i="1"/>
  <c r="F19" i="1"/>
  <c r="F23" i="1"/>
  <c r="F24" i="1"/>
  <c r="F28" i="1"/>
  <c r="F29" i="1"/>
  <c r="F27" i="1" l="1"/>
  <c r="F22" i="1"/>
  <c r="F17" i="1"/>
  <c r="F12" i="1"/>
  <c r="H11" i="2"/>
  <c r="H20" i="2"/>
  <c r="I8" i="2"/>
  <c r="M35" i="2" l="1"/>
  <c r="M36" i="2"/>
  <c r="M37" i="2"/>
  <c r="H35" i="2"/>
  <c r="I35" i="2"/>
  <c r="H36" i="2"/>
  <c r="I36" i="2"/>
  <c r="H37" i="2"/>
  <c r="M34" i="2"/>
  <c r="H34" i="2"/>
  <c r="I34" i="2"/>
  <c r="N34" i="2" s="1"/>
  <c r="M33" i="2"/>
  <c r="I33" i="2"/>
  <c r="N33" i="2" s="1"/>
  <c r="H33" i="2"/>
  <c r="F43" i="1"/>
  <c r="F38" i="1"/>
  <c r="F39" i="1"/>
  <c r="F34" i="1"/>
  <c r="I46" i="1"/>
  <c r="I40" i="1"/>
  <c r="I38" i="1"/>
  <c r="I41" i="1" s="1"/>
  <c r="I36" i="1"/>
  <c r="D8" i="4" l="1"/>
  <c r="E8" i="4"/>
  <c r="F42" i="1"/>
  <c r="F37" i="1"/>
  <c r="F32" i="1"/>
  <c r="I236" i="1" l="1"/>
  <c r="I276" i="1"/>
  <c r="F233" i="1"/>
  <c r="F257" i="1"/>
  <c r="F262" i="1"/>
  <c r="F263" i="1"/>
  <c r="F273" i="1"/>
  <c r="F277" i="1"/>
  <c r="F278" i="1"/>
  <c r="F282" i="1"/>
  <c r="F283" i="1"/>
  <c r="F287" i="1"/>
  <c r="F133" i="1"/>
  <c r="F74" i="1"/>
  <c r="F272" i="1" l="1"/>
  <c r="F267" i="1"/>
  <c r="F232" i="1"/>
  <c r="F268" i="1"/>
  <c r="I16" i="1"/>
  <c r="F132" i="1"/>
  <c r="F113" i="1"/>
  <c r="I231" i="1"/>
  <c r="I271" i="1"/>
  <c r="F7" i="4"/>
  <c r="I116" i="1"/>
  <c r="F54" i="1"/>
  <c r="F67" i="1"/>
  <c r="F62" i="1"/>
  <c r="I121" i="1"/>
  <c r="F118" i="1"/>
  <c r="F72" i="1"/>
  <c r="F112" i="1" l="1"/>
  <c r="F117" i="1"/>
  <c r="F48" i="1"/>
  <c r="F8" i="1"/>
  <c r="F52" i="1"/>
  <c r="F49" i="1"/>
  <c r="F9" i="1"/>
  <c r="I11" i="1" l="1"/>
  <c r="I21" i="1"/>
  <c r="I26" i="1"/>
  <c r="I31" i="1"/>
  <c r="F47" i="1"/>
  <c r="F7" i="1"/>
  <c r="H9" i="2"/>
  <c r="I9" i="2"/>
  <c r="H10" i="2"/>
  <c r="I10" i="2"/>
  <c r="N10" i="2" s="1"/>
  <c r="N7" i="2" s="1"/>
  <c r="E5" i="4" s="1"/>
  <c r="I11" i="2"/>
  <c r="I20" i="2"/>
  <c r="H8" i="2"/>
  <c r="M20" i="2"/>
  <c r="M9" i="2"/>
  <c r="M10" i="2"/>
  <c r="M11" i="2"/>
  <c r="M8" i="2"/>
  <c r="D5" i="4" l="1"/>
  <c r="M14" i="2"/>
  <c r="D6" i="4" s="1"/>
  <c r="D7" i="4"/>
  <c r="G8" i="4" l="1"/>
  <c r="H8" i="4" s="1"/>
  <c r="G6" i="4"/>
  <c r="H6" i="4" s="1"/>
  <c r="G7" i="4" l="1"/>
  <c r="H7" i="4" s="1"/>
  <c r="F5" i="4" l="1"/>
  <c r="G5" i="4" s="1"/>
  <c r="H5" i="4" s="1"/>
</calcChain>
</file>

<file path=xl/sharedStrings.xml><?xml version="1.0" encoding="utf-8"?>
<sst xmlns="http://schemas.openxmlformats.org/spreadsheetml/2006/main" count="896" uniqueCount="300">
  <si>
    <t>№ п/п</t>
  </si>
  <si>
    <t>Муниципальная программа, подпрограмма, основное мероприятие, мероприятие</t>
  </si>
  <si>
    <t>Объемы и источники финансирования 
(тыс. руб.)</t>
  </si>
  <si>
    <t>Заплани-ровано на отчетный год</t>
  </si>
  <si>
    <t>Степень освое-ния средств</t>
  </si>
  <si>
    <t>Результаты выполнения мероприятий</t>
  </si>
  <si>
    <t>Ожидаемые результаты реализации (краткая характеристика) мероприятий</t>
  </si>
  <si>
    <t>Фактические результаты реализации (краткая характеристика) мероприятий</t>
  </si>
  <si>
    <t xml:space="preserve">Выполне-ние (да / нет / частично) </t>
  </si>
  <si>
    <t>Соисполнители</t>
  </si>
  <si>
    <t>Причины низкой степени освоения средств, невыполнения мероприятий</t>
  </si>
  <si>
    <t>Источник</t>
  </si>
  <si>
    <t xml:space="preserve">Фактическое исполнение </t>
  </si>
  <si>
    <t>Всего:</t>
  </si>
  <si>
    <t>МБ</t>
  </si>
  <si>
    <t>ФБ</t>
  </si>
  <si>
    <t>ОБ</t>
  </si>
  <si>
    <t>ВБ</t>
  </si>
  <si>
    <t xml:space="preserve">Количество мероприятий, всего, в т.ч. </t>
  </si>
  <si>
    <t>Выполнены в полном объеме</t>
  </si>
  <si>
    <t>Выполнены частично</t>
  </si>
  <si>
    <t>Не выполнены</t>
  </si>
  <si>
    <t>Степень выполнения мероприятий</t>
  </si>
  <si>
    <t>-</t>
  </si>
  <si>
    <t>КСПВООДМ</t>
  </si>
  <si>
    <t>1.</t>
  </si>
  <si>
    <t>1.1.</t>
  </si>
  <si>
    <t>1.1.1.</t>
  </si>
  <si>
    <t>2.</t>
  </si>
  <si>
    <t>2.1.1.</t>
  </si>
  <si>
    <t>2.1.2.</t>
  </si>
  <si>
    <t>2.1.</t>
  </si>
  <si>
    <t>3.1.</t>
  </si>
  <si>
    <t>3.1.1.</t>
  </si>
  <si>
    <t>3.1.2.</t>
  </si>
  <si>
    <t>Отчет о ходе реализации муниципальной программы</t>
  </si>
  <si>
    <t>Муниципальная программа, подпрограмма, показатель</t>
  </si>
  <si>
    <t>Ед. изм.</t>
  </si>
  <si>
    <t>Направ-ленность</t>
  </si>
  <si>
    <t>Значение показателя</t>
  </si>
  <si>
    <t>факт</t>
  </si>
  <si>
    <t>план</t>
  </si>
  <si>
    <t>Степень достиже-ния показателя (ДП)</t>
  </si>
  <si>
    <t xml:space="preserve">Причины отклонения от плана и (или) отсутствия положительной динамики </t>
  </si>
  <si>
    <t>Предлагаемые меры по улучшению значений показателя</t>
  </si>
  <si>
    <t>Степень достижения показателя для расчета К1</t>
  </si>
  <si>
    <t>Динамика значения показателя для расчета К2</t>
  </si>
  <si>
    <t>0.1.</t>
  </si>
  <si>
    <t>0.2.</t>
  </si>
  <si>
    <t>0.3.</t>
  </si>
  <si>
    <t>0.4.</t>
  </si>
  <si>
    <t>0.5.</t>
  </si>
  <si>
    <t>1.2.</t>
  </si>
  <si>
    <t>1.3.</t>
  </si>
  <si>
    <t>1.4.</t>
  </si>
  <si>
    <t xml:space="preserve">2. </t>
  </si>
  <si>
    <t>Динамика значения показателя по сравнению с предшествующим годом (Дин)</t>
  </si>
  <si>
    <t>Соисполнитель, ответственный за выполнение показателя</t>
  </si>
  <si>
    <t>Информация о реализации мер финансовой поддержки в сфере реализации муниципальной программы</t>
  </si>
  <si>
    <t>Муниципальная программа, подпрограмма</t>
  </si>
  <si>
    <t>Ответственный исполнитель</t>
  </si>
  <si>
    <t>К1 (степень достижения показателей)</t>
  </si>
  <si>
    <t>К2 (динамика значений показателей по сравнению с предшествующим годом)</t>
  </si>
  <si>
    <t>К3 (степень выполнения мероприятий)</t>
  </si>
  <si>
    <t>ЭГП (интегральный показатель эффективности)</t>
  </si>
  <si>
    <t>Оценка</t>
  </si>
  <si>
    <t>Наименование меры финансовой поддержки</t>
  </si>
  <si>
    <t>Цель предоставления</t>
  </si>
  <si>
    <t>Нормативный акт</t>
  </si>
  <si>
    <t>Связь с показателями муниципальной программы</t>
  </si>
  <si>
    <t>Информация о реализации</t>
  </si>
  <si>
    <t>АГМ, СД</t>
  </si>
  <si>
    <t>Мероприятие "Расходы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</si>
  <si>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 xml:space="preserve">3. </t>
  </si>
  <si>
    <t>3.2.</t>
  </si>
  <si>
    <t>Подпрограмма 4 "Поддержка общественных и гражданских инициатив в городе Мурманске"</t>
  </si>
  <si>
    <t xml:space="preserve">4. </t>
  </si>
  <si>
    <t>4.1.</t>
  </si>
  <si>
    <t>4.1.1.</t>
  </si>
  <si>
    <t>4.1.2.</t>
  </si>
  <si>
    <t>4.1.3.</t>
  </si>
  <si>
    <t>Мероприятие "Расходы на выплаты по оплате труда работников органов местного самоуправления"</t>
  </si>
  <si>
    <t>Мероприятие "Расходы на обеспечение функций работников органов местного самоуправления"</t>
  </si>
  <si>
    <t>частично</t>
  </si>
  <si>
    <t>%</t>
  </si>
  <si>
    <t>3.</t>
  </si>
  <si>
    <t>1.5.</t>
  </si>
  <si>
    <t>«Социальная поддержка» на 2023-2028 годы</t>
  </si>
  <si>
    <t>Муниципальная программа «Социальная поддержка»</t>
  </si>
  <si>
    <t>КО</t>
  </si>
  <si>
    <t>КИО</t>
  </si>
  <si>
    <t>КТРиС</t>
  </si>
  <si>
    <t>КРГХ</t>
  </si>
  <si>
    <t>КЖП</t>
  </si>
  <si>
    <t>КК</t>
  </si>
  <si>
    <t>Основное мероприятие "Устройство детей-сирот и детей, оставшихся без попечения родителей в семьи опекунов, попечителей, приемные семьи"</t>
  </si>
  <si>
    <t>1.1.1.1.</t>
  </si>
  <si>
    <t>1.1.1.2</t>
  </si>
  <si>
    <t>1.1.1.3.</t>
  </si>
  <si>
    <t>Мероприятие "Субвенция на содержание ребенка в семье опекуна (попечителя) и приемной семье, а также вознаграждение, причитающееся приемному родителю"</t>
  </si>
  <si>
    <t>Мероприятие "Предоставление полного государственного обеспечения детям - сиротам и детям, оставшимся без попечения родителей, воспитывающимся в семьях опекунов, попечителей"</t>
  </si>
  <si>
    <t>Мероприятие "Предоставление полного государственного обеспечения детям - сиротам и детям, оставшимся без попечения родителей, воспитывающимся в приемных семьях"</t>
  </si>
  <si>
    <t>Мероприятие "Предоставление вознаграждения приемному родителю"</t>
  </si>
  <si>
    <t>1.2.1.</t>
  </si>
  <si>
    <t>1.2.2.</t>
  </si>
  <si>
    <t>1.2.3.</t>
  </si>
  <si>
    <t>1.2.4.</t>
  </si>
  <si>
    <t>1.2.5.</t>
  </si>
  <si>
    <t>Основное мероприятие "Обеспечение защиты жилищных и имущественных прав детей-сирот и детей, оставшихся без попечения родителей, лиц из их числа, профилактика социального сиротства"</t>
  </si>
  <si>
    <t>Мероприятие "Субвенция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</si>
  <si>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Мероприятие "Субвенция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</si>
  <si>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Мероприятие "Субвенция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</si>
  <si>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Мероприятие "Организация мероприятий по ремонту квартир (жилых помещений), закрепленных за лицами из числа детей-сирот и детей, оставшихся без попечения родителей"</t>
  </si>
  <si>
    <t>Мероприятие "Субвенция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 сиротами и детьми, оставшимися без попечения родителей, лицами из числа детей-сирот и детей, оставшихся без попечения родителей"</t>
  </si>
  <si>
    <t>Мероприятие "Обеспечение социальных гарантий и усиление адресной направленности дополнительных мер социальной поддержки отдельных категорий граждан"</t>
  </si>
  <si>
    <t>Мероприятие "Организация мероприятий по выполнению текущего ремонта квартир ветеранов Великой Отечественной войны"</t>
  </si>
  <si>
    <t>Мероприятие "Предоставление дополнительного пенсионного обеспечения муниципальным служащим в органах местного самоуправления муниципального образования город Мурманск и лицам, замещавшим муниципальные должности в муниципальном образовании город Мурманск"</t>
  </si>
  <si>
    <t>2.1.3.</t>
  </si>
  <si>
    <t>2.1.4.</t>
  </si>
  <si>
    <t>Подпрограмма 2 "Социальная поддержка отдельных категорий граждан"</t>
  </si>
  <si>
    <t>КТРиС, КСПВООДМ</t>
  </si>
  <si>
    <t>2.2.</t>
  </si>
  <si>
    <t>2.2.2.</t>
  </si>
  <si>
    <t>2.2.3.</t>
  </si>
  <si>
    <t>2.2.1.</t>
  </si>
  <si>
    <t>2.3.</t>
  </si>
  <si>
    <t>2.3.1.</t>
  </si>
  <si>
    <t>2.3.2.</t>
  </si>
  <si>
    <t>2.3.3.</t>
  </si>
  <si>
    <t>2.3.4.</t>
  </si>
  <si>
    <t>Основное мероприятие: обеспечение реализации льгот лицам, удостоенным звания "Почетный гражданин города-героя Мурманска"</t>
  </si>
  <si>
    <t>Мероприятие "Реализация положения о звании "Почетный гражданин города-героя Мурманска" в части предоставления ежемесячной доплаты к государственной (трудовой) пенсии"</t>
  </si>
  <si>
    <t>Мероприятие "Реализация положения о звании "Почетный гражданин города-героя Мурманска" в части предоставления ежегодной единовременной материальной помощи на санаторное лечение и оздоровительные мероприятия"</t>
  </si>
  <si>
    <t>Мероприятие "Реализация положения о звании "Почетный гражданин города-героя Мурманска" в части обеспечения единым социальным проездным билетом"</t>
  </si>
  <si>
    <t>Мероприятие "Реализация положения о звании "Почетный гражданин города-героя Мурманска" в части возмещения расходов за ритуальные услуги, оказанные специализированными организациями"</t>
  </si>
  <si>
    <t>2.4.</t>
  </si>
  <si>
    <t>2.4.1.</t>
  </si>
  <si>
    <t>Основное мероприятие: предоставление и организация выплаты вознаграждения опекунам совершеннолетних недееспособных граждан</t>
  </si>
  <si>
    <t>Мероприятие "Субвенция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</si>
  <si>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2.5.</t>
  </si>
  <si>
    <t>2.5.1.</t>
  </si>
  <si>
    <t>2.6.</t>
  </si>
  <si>
    <t>2.6.1.</t>
  </si>
  <si>
    <t>Основное мероприятие: предоставление субсидий юридическим лицам, индивидуальным предпринимателям на возмещение затрат, связанных с оказанием мер социальной поддержки отдельным категориям граждан по оплате жилья и коммунальных услуг</t>
  </si>
  <si>
    <t>Мероприятие "Возмещение  юридическим лицам, индивидуальным предпринимателям затрат, связанных с оказанием мер социальной поддержки жителям и защитникам блокадного Ленинграда по оплате жилья и коммунальных услуг"</t>
  </si>
  <si>
    <t>2.7.</t>
  </si>
  <si>
    <t>2.7.1.</t>
  </si>
  <si>
    <t>Основное мероприятие: возмещение расходов по гарантированному перечню услуг по погребению</t>
  </si>
  <si>
    <t>Мероприятие "Субвенция на возмещение расходов по гарантированному перечню услуг по погребению"</t>
  </si>
  <si>
    <t>КО, КИО, КТРиС</t>
  </si>
  <si>
    <t>3.1.3.</t>
  </si>
  <si>
    <t>3.1.4.</t>
  </si>
  <si>
    <t>3.1.5.</t>
  </si>
  <si>
    <t>3.1.6.</t>
  </si>
  <si>
    <t>Мероприятие "Приобретение оборудования и технических средств адаптации для оснащения учреждений культуры и дополнительного образования (детских школ искусств (по видам искусств)"</t>
  </si>
  <si>
    <t>Мероприятие "Приобретение оборудования и технических средств адаптации для оснащения учреждений молодежной политики"</t>
  </si>
  <si>
    <t>Мероприятие "Субсидия муниципальным образованиям на обеспечение условий доступности входных групп многоквартирных домов с учетом потребностей инвалидов "</t>
  </si>
  <si>
    <t>Мероприятие "Софинансирование за счет средств местного бюджета к субсидии из областного бюджета на обеспечение условий доступности входных групп многоквартирных домов с учетом потребностей инвалидов"</t>
  </si>
  <si>
    <t>Подпрограмма 3 "Создание доступной среды для инвалидов и других маломобильных групп населения на территории города Мурманска"</t>
  </si>
  <si>
    <t>Основное мероприятие: эффективное управление в сфере предоставления населению города дополнительных мер социальной поддержки и оказания социальной помощи, в области взаимодействия с социально ориентированными некоммерческими организациями и общественными объединениями, в области муниципальной молодежной политики</t>
  </si>
  <si>
    <t>Мероприятие "Субвенция на реализацию Закона Мурманской области «О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совершеннолетних граждан»</t>
  </si>
  <si>
    <t>4.1.4.</t>
  </si>
  <si>
    <t>4.1.5.</t>
  </si>
  <si>
    <t>Мероприятие "Субвенция на осуществление государственных полномочий по предоставлению единовременной денежной выплаты многодетным семьям на улучшение жилищных условий"</t>
  </si>
  <si>
    <t>КТРиС, КСПВООДМ, КЖП, КРГХ</t>
  </si>
  <si>
    <t>КО, КТРиС, КК, КСПВООДМ</t>
  </si>
  <si>
    <t>Муниципальная программа "Социальная поддержка"</t>
  </si>
  <si>
    <t>0.6.</t>
  </si>
  <si>
    <t>Доля детей-сирот и детей, оставшихся без попечения родителей, устроенных в замещающие семьи, от общей численности детей-сирот и детей, оставшихся без попечения родителей</t>
  </si>
  <si>
    <t>Доля детей-сирот и детей, оставшихся без попечения родителей, охваченных дополнительными мерами социальной поддержки в соответствии с нормативными правовыми актами Мурманской области, от общего числа детей-сирот и детей, оставшихся без попечения родителей, имеющих право на дополнительные меры социальной поддержки</t>
  </si>
  <si>
    <t>Общее количество граждан, получивших дополнительные меры социальной поддержки и оказанные услуги</t>
  </si>
  <si>
    <t>чел</t>
  </si>
  <si>
    <t>Доля организаций, индивидуальных предпринимателей, получивших субсидию на возмещение затрат, связанных с оказанием мер социальной поддержки отдельным категориям граждан по оплате жилья и коммунальных услуг, от общего числа обратившихся за ее получением</t>
  </si>
  <si>
    <t>Количество объектов социальной инфраструктуры, в которых реализуются мероприятия по обеспечению условий доступности для инвалидов и других маломобильных групп населения (нарастающим итогом)</t>
  </si>
  <si>
    <t>Доля фактически приспособленных жилых помещений и (или) общедомового имущества в многоквартирных домах с учетом потребностей инвалидов от запланированного количества (на соответствующий год)</t>
  </si>
  <si>
    <t xml:space="preserve">КСПВООДМ, КЖП, КРГХ, КТРИС
</t>
  </si>
  <si>
    <t xml:space="preserve">КСПВООДМ, КО, КК
</t>
  </si>
  <si>
    <t xml:space="preserve">Подпрограмма 1 "Оказание мер социальной поддержки детям-сиротам и детям, оставшимся без попечения родителей, лицам из их числа"
</t>
  </si>
  <si>
    <t>1.6.</t>
  </si>
  <si>
    <t xml:space="preserve">Количество детей-сирот и детей, оставшихся без попечения родителей, воспитывающихся в семьях опекунов, попечителей
</t>
  </si>
  <si>
    <t>ед</t>
  </si>
  <si>
    <t>Количество детей-сирот и детей, оставшихся без попечения родителей, воспитывающихся в приемных семьях</t>
  </si>
  <si>
    <t>Число детей, над которыми установлен социальный и постинтернатный патронат</t>
  </si>
  <si>
    <t>Число детей-сирот и детей, оставшихся без попечения родителей, лиц из их числа, которым предоставлена ежемесячная жилищно-коммунальная выплата</t>
  </si>
  <si>
    <t>Число детей-сирот и детей, оставшихся без попечения родителей, лиц из их числа, которым предоставлены благоустроенные жилые помещения специализированного жилищного фонда по договорам найма специализированных жилых помещений</t>
  </si>
  <si>
    <t>Число детей-сирот и детей, оставшихся без попечения родителей, лиц из их числа, которым осуществлен ремонт жилых помещений, собственниками которых они являются, либо текущий ремонт жилых помещений, право пользования которыми за ними сохранено</t>
  </si>
  <si>
    <t xml:space="preserve">Подпрограмма 2 "Социальная поддержка отдельных категорий граждан".
</t>
  </si>
  <si>
    <t>2.8.</t>
  </si>
  <si>
    <t>2.9.</t>
  </si>
  <si>
    <t>2.10.</t>
  </si>
  <si>
    <t xml:space="preserve">Количество трудоустроенных граждан
</t>
  </si>
  <si>
    <t>Количество граждан, которым были предоставлены дополнительные меры социальной поддержки</t>
  </si>
  <si>
    <t>Количество отремонтированных квартир ветеранов Великой Отечественной войны</t>
  </si>
  <si>
    <t>Количество выплат на возмещение стоимости услуг по погребению умерших</t>
  </si>
  <si>
    <t>Количество опекунов совершеннолетних недееспособных граждан, получающих вознаграждение</t>
  </si>
  <si>
    <t>Количество граждан, получивших материальную помощь</t>
  </si>
  <si>
    <t>Количество участников и инвалидов Великой Отечественной войны, получивших единовременную материальную помощь</t>
  </si>
  <si>
    <t>Количество получателей льгот, установленных Почетным гражданам города-героя Мурманска и членам их семей</t>
  </si>
  <si>
    <t>Количество получателей ежемесячной жилищно-коммунальной выплаты</t>
  </si>
  <si>
    <t>Количество юридических лиц, индивидуальных предпринимателей, которым предоставлена субсидия на возмещение затрат, связанных с оказанием мер социальной поддержки отдельным категориям граждан по оплате жилья и коммунальных услуг</t>
  </si>
  <si>
    <t>КТРиС, КО</t>
  </si>
  <si>
    <t>3.3.</t>
  </si>
  <si>
    <t>3.4.</t>
  </si>
  <si>
    <t>3.5.</t>
  </si>
  <si>
    <t xml:space="preserve">Подпрограмма 3 "Создание доступной среды для инвалидов и других маломобильных групп населения на территории города Мурманска".
</t>
  </si>
  <si>
    <t>Количество объектов дошкольного, общего и дополнительного образования, в которых реализованы мероприятия по обеспечению доступности для инвалидов и других маломобильных групп населения (нарастающим итогом)</t>
  </si>
  <si>
    <t xml:space="preserve">Количество учреждений культуры и дополнительного образования (детских школ искусств (по видам искусств), в которых реализованы мероприятия по обеспечению условий доступности для инвалидов и других маломобильных групп населения, подведомственных комитету по культуре администрации города Мурманска (нарастающим итогом)
</t>
  </si>
  <si>
    <t>Количество приспособленных жилых помещений и (или) общедомового имущества в многоквартирных домах с учетом потребностей инвалидов</t>
  </si>
  <si>
    <t>Количество объектов МАУ МП "Объединение молодежных центров", в которых реализованы мероприятия по обеспечению доступности для инвалидов и других маломобильных групп населения (нарастающим итогом)</t>
  </si>
  <si>
    <t>Количество приспособленных входных групп многоквартирных домов с учетом потребностей инвалидов</t>
  </si>
  <si>
    <t>Оценка эффективности реализации муниципальной программы «Социальная поддержка»</t>
  </si>
  <si>
    <t>Подпрограмма 1 "Оказание мер социальной поддержки детям-сиротам и детям, оставшимся без попечения родителей, лицам из их числа" на 2023 - 2028 годы</t>
  </si>
  <si>
    <t>Подпрограмма 2 "Социальная поддержка отдельных категорий граждан" на 2023 - 2028 годы</t>
  </si>
  <si>
    <t>Подпрограмма 3 "Создание доступной среды для инвалидов и других маломобильных групп населения на территории города Мурманска" на 2023 - 2028 годы</t>
  </si>
  <si>
    <t>Возмещение юридическим лицам, индивидуальным предпринимателям затрат, связанных с оказанием мер социальной поддержки жителям и защитникам блокадного Ленинграда по оплате жилья и коммунальных услуг</t>
  </si>
  <si>
    <t>Возмещение затрат управляющих организаций, ТСЖ, ЖСК, ресурсоснабжающих организаций и индивидуальных предпринимателей по оказанию мер социальной поддержки жителям и защитникам блокадного Ленинграда по оплате жилья и коммунальных услуг</t>
  </si>
  <si>
    <t>Решение Мурманского городского Совета от 21.12.1990 N 9 "О дополнительных льготах бывшим жителям или защитникам блокадного Ленинграда", постановление администрации города Мурманска от 13.11.2017 N 3614 "Об утверждении порядка возмещения юридическим лицам, индивидуальным предпринимателям затрат, связанных с оказанием мер социальной поддержки жителям или защитникам блокадного Ленинграда по оплате жилья и коммунальных услуг", постановление администрации города Мурманска от 13.11.2017 3613 "Об утверждении порядка возмещения некоммерческим организациям затрат, связанных с оказанием мер социальной поддержки жителям или защитникам блокадного Ленинграда по оплате жилья и коммунальных услуг"</t>
  </si>
  <si>
    <t>да</t>
  </si>
  <si>
    <t>Фактическое количество выплат</t>
  </si>
  <si>
    <t xml:space="preserve">В соответствии с законом Мурманской области от 29.12.2004 N 581-01-ЗМО (ред. от 22.12.2023) "О возмещении стоимости услуг и выплате социального пособия на погребение" </t>
  </si>
  <si>
    <t>Предоставление дополнительных мер социальной поддержки: приобретение сувенирной и наградной продукции, услуги связи, содержание подъемной платформы, выдача талонов на бесплатное посещение общего отдения бань, выдача талонов на бесплатное питание. Количество граждан, которым были предоставлены дополнительные меры социальной поддержки - 958 чел.</t>
  </si>
  <si>
    <t>Предоставление дополнительного пенсионного обеспечения муниципальным служащим в органах местного самоуправления муниципального образования город Мурманск и лицам, замещавшим муниципальные должности в муниципальном образовании город Мурманск</t>
  </si>
  <si>
    <t xml:space="preserve"> Предоставление ежегодной единовременной материальной помощи на санаторное лечение и оздоровительные мероприятия – 23 получателя</t>
  </si>
  <si>
    <t>Обеспечение единым социальным проездным билетом – 12 получателей</t>
  </si>
  <si>
    <t xml:space="preserve">Возмещения расходов за ритуальные услуги, оказанные специализированными организациями </t>
  </si>
  <si>
    <t>Оплата труда работников органов местного самоуправления</t>
  </si>
  <si>
    <t>Осуществление переданных государственных полномочий</t>
  </si>
  <si>
    <t>Заявительный характер</t>
  </si>
  <si>
    <t>Дополнительные меры социальной поддержки предоставлены 958 гражданам (100 % от плана)</t>
  </si>
  <si>
    <t xml:space="preserve">Дефицит строительства многоквартирных домов на территории города Мурманска, нестабильность цен на рынке недвижимости города Мурманска с периодами значительного роста, отсутствие жилых помещений на вторичном рынке жилья с требуемыми характеристиками </t>
  </si>
  <si>
    <t xml:space="preserve">Мероприятие "Приспособление жилых помещений и (или) общего имущества в многоквартирных домах с учетом потребностей инвалидов, в том числе обследования, изыскания, экспертизы"  </t>
  </si>
  <si>
    <t>Снижение общей численности детей-сирот; заявительный характер; 60% лиц из числа детей-сирот обеспечены жильем во второй половине года</t>
  </si>
  <si>
    <t>Снижение общей численности детей-сирот;  увеличение доли детей-сирот, устроенных в приемные семьи; выпуск  детей-сирот из семьи по достижении 18 лет или выбытие на ПМЖ в другой субъект РФ</t>
  </si>
  <si>
    <t>Обеспечение функций работников органов местного самоуправления</t>
  </si>
  <si>
    <t>Заявительный характер  мероприятия</t>
  </si>
  <si>
    <t>Заявительный характер мероприятия</t>
  </si>
  <si>
    <t>Фактическое число получателей материальной помощи не подлежит точному прогнозированию</t>
  </si>
  <si>
    <t>Увеличение количества жилых помещений для предоставления детям-сиротам и детям, оставшимся без попечения родителей, за счет выселения граждан, лишенных родительских прав, в судебном порядке по требованию органа опеки и попечительства в другое жилое помещение по договору социального найма, размер которого соответствует размеру жилого помещения, установленному для вселения граждан в общежити, если совместное проживание граждан с детьми, в отношении которых они лишены родительских прав, признано судом невозможным.</t>
  </si>
  <si>
    <t>за 2024 год</t>
  </si>
  <si>
    <t>Мероприятие: "Оказание материальной помощи инвалидам"</t>
  </si>
  <si>
    <t>Мероприятие: "Единовременная материальная помощь участникам и инвалидам Великой Отечественной войны в связи с празднованием Дня Победы"</t>
  </si>
  <si>
    <t>в 2024 году</t>
  </si>
  <si>
    <t xml:space="preserve">Общая численность детей-сирот и детей, оставшихся без попечения родителей, в городе Мурманске на отчетную дату составляет 923 человека. Доля детей-сирот и детей, оставшихся без попечения родителей, устроенных в замещающие семьи, от общей численности детей-сирот составила 90,2% (833 человека). Исполнение показателя составило 100,2%. Меры социальной поддержки предоставляются ежемесячно в полном объеме. </t>
  </si>
  <si>
    <t>Детям указанной категории за время пребывания в семье опекуна, попечителя полное государственное обеспечение предоставляется ежемесячно. Среднегодовая численность  детей-сирот и детей, оставшихся без попечения родителей, воспитывающихся в семьях опекунов и попечителей, на отчетную дату составляет 328,7 человек. (Исполнение показатея составило 93,4%).</t>
  </si>
  <si>
    <t>Детям указанной категории за время пребывания в приемных семьях полное государственное обеспечение предоставляется ежемесячно. Среднегодовая численность детей-сирот и детей, оставшихся без попечения родителей, воспитывающихся в приемных семьях, на отчетную дату составляет 259 человек. (Исполнение показателя составило 94,2%).</t>
  </si>
  <si>
    <t>Уменьшение ОБА, предусмотренных на реализацию мероприятия 1.1, на 15 535,3 тыс.руб. и расходов в связи с уменьшением количества детей-сирот согласно полученным уведомлениям Министерства образования и науки Мурманской области по расчетам между бюджетами № 2389 от 13.11.2024, № 2684 от 20.12.2024. Данные изменения не вошли в Решение Совета депутатов города Мурманска от 19.12.2023 N 53-731 (ред. от 29.11.2024)</t>
  </si>
  <si>
    <t>Среднегодовая численность детей, над которыми установлен социальный и постинтернатный патронат – 99 человек (Исполнение составило 99%). Выплата лицам, осуществляющим социальный и постинтернатный патронат, осуществляется ежемесячно в полном объеме.</t>
  </si>
  <si>
    <t>Ежемесячная денежная выплата на оплату жилого помещения и коммунальных услуг (ЕЖКВ) в среднем в месяц предоставлялась  378 детям-сиротам и детям, оставшимся без попечения родителей, лицам из их числа, что составляет 92,6%.</t>
  </si>
  <si>
    <t xml:space="preserve"> Предоставление ЕЖКВ  осуществляется на основании  заявления. Право на ЕЖКВ  имеют 54 лица из числа детей-сирот, имеющих право на выплату и не обратившихся с заявлением о её предоставлении.</t>
  </si>
  <si>
    <t xml:space="preserve">Фактическое значение показателя по итогам 2024 года составило  - 110 человек: 3 жилых помещения приобретены в 2023 году, 10 муниципальных жилых помещений после проведения в них текущего ремонта с последующей компенсацией за счет средств субвенции (областного бюджета), 59 жилых помещений приобретены в 2024 году, 3 жилых помещения предоставлены в новом доме на Успенского, 30 жилых помещений приобретены за счет выплаты по свидетельству, 5 жилых помещений приобретены за счет выплаты по сертификату. 68 детей-сирот, состоящих в списке, не обратились с заявлением о предоставлении жилого помещения, по причинам: признанны недееспособными (36 чел.), проходящие службу в ВС РФ (6 чел.), граждане, в отношении которых отсутствует информация о фактическом месте нахождения (3 чел.), граждане, которые находятся в местах лишения свободы (2 чел.), работают за границей (3 чел.), перенос срока предоставления жилого помещения (4 чел.), планирует включится в список в Архангельске (1 чел.), планирует включится в список в Москве (1 чел.), планирует включится в список в Пскове (1 чел.), находится в закрытой клинике в Санкт-Петербурге (1 чел.), направлены уведомления с приглашением подойти в отдел (10 чел.).
</t>
  </si>
  <si>
    <t>За отчётный период 2024 года опубликовано 407 извещений о проведении закупок конкурентными способами (электронные аукционы и запросы котировок). Приобретено 85 однокомнатных квартир для детей-сирот, переданы 32 однокомнатные квартиры, расположенные во введенном в эксплуатацию многоквартирном доме 9 по улице Успенского в Мурманске.</t>
  </si>
  <si>
    <t>1.2.6.</t>
  </si>
  <si>
    <t>Число детей-сирот и детей, оставшихся без попечения родителей, лиц из их числа, которым осуществлен ремонт жилых помещений, собственниками которых они являются, либо текущий ремонт жилых помещений, право пользования которыми за ними сохранено - 20 чел.</t>
  </si>
  <si>
    <t>Мероприятие "Субвенции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(за счет средств резервного фонда Правительства Мурманской области)"</t>
  </si>
  <si>
    <t>Финансирование трудоустройства 50 граждан, зарегистрированных в органах службы занятости в целях поиска подходящей работы.</t>
  </si>
  <si>
    <t xml:space="preserve">На конец 2024 года 51 объект дошкольного, общего и дополнительного образования, в которых реализованы мероприятия по обеспечению доступности для инвалидов и других маломобильных групп населения (нарастающим итогом) </t>
  </si>
  <si>
    <t>Заявительный характер предоставления субсидии</t>
  </si>
  <si>
    <t xml:space="preserve">Количество юридических лиц, индивидуальных предпринимателей, которым предоставлена субсидия на возмещение затрат, связанных с оказанием мер социальной поддержки отдельным категориям граждан по оплате жилья и коммунальных услуг. В 2024 году 2 ЮЛ  </t>
  </si>
  <si>
    <t>Обеспечение предоставления ежемесячной жилищно-коммунальной выплаты 62 получателям в 2024 году</t>
  </si>
  <si>
    <t xml:space="preserve">Возмещение юридическим лицам, индивидуальным предпринимателям затрат, связанных с оказанием мер социальной поддержки жителям и защитникам блокадного Ленинграда по оплате жилья и коммунальных услуг
Возмещение затрат управляющих организаций, ТСЖ, ЖСК, ресурсоснабжающих организаций и индивидуальных предпринимателей по оказанию мер социальной поддержки жителям и защитникам блокадного Ленинграда по оплате жилья и коммунальных услугРешение Мурманского городского Совета от 21.12.1990 N 9 "О дополнительных льготах бывшим жителям или защитникам блокадного Ленинграда", постановление администрации города Мурманска от 13.11.2017 N 3614 "Об утверждении порядка возмещения юридическим лицам, индивидуальным предпринимателям затрат, связанных с оказанием мер социальной поддержки жителям или защитникам блокадного Ленинграда по оплате жилья и коммунальных услуг", постановление администрации города Мурманска от 13.11.2017 3613 "Об утверждении порядка возмещения некоммерческим организациям затрат, связанных с оказанием мер социальной поддержки жителям или защитникам блокадного Ленинграда по оплате жилья и коммунальных услуг"                    0.4. Доля организаций, индивидуальных предпринимателей, получивших субсидию на возмещение затрат, связанных с оказанием мер социальной поддержки отдельным категориям граждан по оплате жилья и коммунальных услуг, от общего числа обратившихся за ее получением.
2.10. Количество юридических лиц, индивидуальных предпринимателей, которым предоставлена субсидия на возмещение затрат, связанных с оказанием мер социальной поддержки отдельным категориям граждан по оплате жилья и коммунальных услуг
</t>
  </si>
  <si>
    <t xml:space="preserve">В 2024 году с заявлениями на  возмещением затрат, связанных с оказанием мер социальной поддержки жителям и защитникам блокадного Ленинграда по оплате жилья и коммунальных услуг в комитет обратилось 2 юридических лица, что соответствует показателям муниципальной программы. Сумма выплат составила 6,0 тыс. рублей. Процент исполнения программы составил 100%.
</t>
  </si>
  <si>
    <t>Количество отремонтированных квартир ветеранов Великой Отечественной войны - 2 ед.</t>
  </si>
  <si>
    <t>Количество приспособленных жилых помещений и (или) общедомового имущества в многоквартирных домах с учетом потребностей инвалидов - 6 ед.</t>
  </si>
  <si>
    <t>На конец 2024 года 51 объект дошкольного, общего и дополнительного образования.   В 2024 году реализовано в полном объеме:
- приобретение многоступенчатого шагающего устройства для ОВЗ (МБОУ г. Мурманска СОШ № 34 - 250,0 т.р.);
- обеспечение беспрепятственный доступ в здание путем оснащения специальными приспособлениями - установка пандуса (МБОУ г. Мурманска Прогимназия № 40 - 350,0 т.р.);
- приобретение многоступенчатого шагающего устройства для ОВЗ (МБОУ г. Мурманска СОШ № 53 - 208,2 т.р.); Таже приобретено:  
-  спортивное оборудование и инвентарь для детей с ограниченными возможностями роликовые коньки, мячи, ворота, лыжи,шлем, ботинки для лыж, акватренажер, палочки для ныряния) (МБУ ДО г. Мурманска ДЮСАШ № 15 - 123,0 т.р.)
В IV квартале 2024 году реализованы следующие мероприятия:
- приобретено спортивное оборудование и инвентарь для детей с ограниченными возможностями (лента силовая, мяч, эспандер, кресло-коляска д/инвал) (МБУ ДО г. Мурманска ДЮСАШ № 15 - 26,94 т.р.) Экономия 58 руб.                                                                                 *На начало года объемы средств 2024 году предусмотрены в сумме  1 000,0 тыс. руб.  В связи с экономией, сложившейся при осуществление закупки многоступенчатого шагающего устройства для детей с ОВЗ МБОУ г. Мурманска СОШ № 53 на сумму  41,8 тыс. руб. уменьшены бюджетные ассигнование на рееализацию данного мероприятия.
Объемы выделенных средств на 2024 года составили 958,20 тыс. руб. Мероприятие реализовано в полном объеме.</t>
  </si>
  <si>
    <t>Плановое значение показателя "Количество детей-сирот и детей, оставшихся без попечения родителей, воспитывающихся в семьях опекунов и попечителей" на 2024 год - 352 человек.</t>
  </si>
  <si>
    <t>Сохранение значения показателя "Доля детей-сирот и детей, оставшихся без попечения родителей, устроенных в замещающие семьи, от общей численности детей-сирот и детей, оставшихся без попечения родителей" на уровне 90%</t>
  </si>
  <si>
    <t>Плановое значение показателя "Количество детей-сирот и детей, оставшихся без попечения родителей, воспитывающихся в приемных семьях" на 2024 год - 275 человек.</t>
  </si>
  <si>
    <t xml:space="preserve"> Плановое значение показателя "Число детей, над которыми установлен социальный и постинтернатный патронат" на 2024 год - 100 человек. </t>
  </si>
  <si>
    <t xml:space="preserve"> Плановое значение показателя "Число детей-сирот и детей, оставшихся без попечения родителей, лиц из их числа, которым предоставлена ежемесячная жилищно-коммунальная выплата" на 2024 год - 408 человек. </t>
  </si>
  <si>
    <t xml:space="preserve"> Плановое значание показателя  "Число детей-сирот и детей, оставшихся без попечения родителей, лиц из их числа, которым предоставлены благоустроенные жилые помещения специализированного жилищного фонда по договорам найма специализированных жилых помещений" на 2024 год - 158 человек. </t>
  </si>
  <si>
    <t xml:space="preserve"> Плановое значение показателя  "Число детей-сирот и детей, оставшихся без попечения родителей, лиц из их числа, которым осуществлен ремонт жилых помещений, собственниками которых они являются, либо текущий ремонт жилых помещений, право пользования которыми за ними сохранено" на 2024 год - 20 человек. </t>
  </si>
  <si>
    <t xml:space="preserve">Осуществление выплаты 18 участникам Великой Отечественной войны и инвалидам Великой Отечественной войны </t>
  </si>
  <si>
    <t>Низкое исполнение мероприятия подпрограммы связано с невыполнением подрядной организацией работ по приспособлению для инвалида общего имущества, расположенного по адресу: улица Зои Космодемьянской, дом 26, подъезд 2 (муниципальный контракт от 08.05.2024 № 125).</t>
  </si>
  <si>
    <t>Количество приспособленных жилых помещений и (или) общедомового имущества в многоквартирных домах с учетом потребностей инвалидов - 5 ед.</t>
  </si>
  <si>
    <t xml:space="preserve"> Предоставление ежемесячной доплаты к государственной (трудовой) пенсии 36 получателя</t>
  </si>
  <si>
    <t xml:space="preserve">Предоставление выплаты вознаграждения 56 опекунам совершеннолетних недееспособных граждан </t>
  </si>
  <si>
    <t>Материальная помощь предоставлена 1501 лицу (100% от плана)</t>
  </si>
  <si>
    <t>Осуществлено возмещение по двум заявлениям</t>
  </si>
  <si>
    <t xml:space="preserve">Трудоустроено 50 граждан. Исполнение показателя составило 100,2%. </t>
  </si>
  <si>
    <t>Дополнительное пенсионное обеспечение предоставляется своевременно 366 лицу. Дополнительное пенсионное обеспечение муниципальным служащим предоставляются ежемесячно в полном объеме</t>
  </si>
  <si>
    <t>Предоставление материальной помощи гражаднам, оказавшимся в трудной жизненной ситуации, в количестве 1500 получателей</t>
  </si>
  <si>
    <t xml:space="preserve">Предусмотрено предоставление единоразовой выплаты  по случаю Международного дня инвалидов </t>
  </si>
  <si>
    <t>Выплата предоставлена 18 ветеранам.  Исполнение показателя составило 100%</t>
  </si>
  <si>
    <t>Выплата предоставленав полном объеме. Исполнение показателя составило 100%</t>
  </si>
  <si>
    <t>Выплата ежемесячно предоставляется  36 получателям. Исполнение показателя составило 100%</t>
  </si>
  <si>
    <t>Материальная помощь на санаторное лечение и оздоровительные мероприятия предоставлена 26 получателям. Исполнение показателя составило 113% от плана</t>
  </si>
  <si>
    <t>13 получателей обеспечиваются единым социальным проездным билетом. Исполнение показателя составило 108% от плана</t>
  </si>
  <si>
    <t>Выплата предоставлена 56 опекунам совершеннолетних недееспособных граждан. Исполнение показателя составило 100% от плана</t>
  </si>
  <si>
    <t>Предоставлена субсидия на возмещение затрат, связанных с оказанием мер социальной поддержки отдельным категориям граждан по оплате жилья и коммунальных услуг, 2 ЮЛ. Исполнение показателя составило 100% от плана</t>
  </si>
  <si>
    <t>Предоставлена ежемесячная жилищно-коммунальная выплата 62 получателям. Исполнение показателя составило 100% от плана</t>
  </si>
  <si>
    <t>Основное мероприятие: обеспечение дополнительных мер социальной поддержки отдельных категорий граждан</t>
  </si>
  <si>
    <t>Основное мероприятие: оказание материальной поддержки отдельным категориям граждан</t>
  </si>
  <si>
    <t xml:space="preserve">Основное мероприятие: реализация прав на меры социальной поддержки отдельных категорий граждан в связи с упразднением поселка городского типа Росляково
</t>
  </si>
  <si>
    <t>Мероприятие "Субвенция бюджету муниципального образования городской округ город-герой Мурманск на реализацию Закона Мурманской области от 19.12.2014 № 1811-01-ЗМО "О сохранении права на меры социальной поддержки отдельных категорий граждан в связи с упразднением поселка городского типа Росляково" в части предоставления мер социальной поддержки по оплате жилого помещения и (или) коммунальных услуг"</t>
  </si>
  <si>
    <t xml:space="preserve">Основное мероприятие: проведение мероприятий по адаптации объектов социальной инфраструктуры для инвалидов и других маломобильных групп населения </t>
  </si>
  <si>
    <t>Мероприятие "Приобретение оборудования, спортивного инвентаря, технических средств адаптации для оснащения муниципальных образовательных учреждений города Мурманска, реализующих образовательные программы дошкольного, начального общего, основного общего, среднего общего и дополнительного образования"</t>
  </si>
  <si>
    <t>Подпрограмма 4 "Обеспечение деятельности комитета по социальной поддержке, взаимодействию с общественными организациями и делам молодежи администрации города Мурманска"</t>
  </si>
  <si>
    <t>Исполнителем мероприятий ММКУ УКС заключены муниципальные контракты:
1) от 24.04.2024 № 118 на сумму 499,5 тыс. руб. на работы по текущему ремонту объекта: "Квартира ветерана Великой Отечественной войны, расположенная по адресу: улица Героев Рыбачьего, дом 37, квартира 156 в городе Мурманске" (в целях социального обеспечения), работы выполнены и оплачены.
2) от 14.05.2024 № 140 на сумму 66,5 тыс. руб. на  работы по текущему ремонту объекта: "Квартира ветерана Великой Отечественной войны, расположенная по адресу: улица Володарского, дом 14а, квартира 29 в городе Мурманске" (в целях социального обеспечения), работы выполнены и оплачен</t>
  </si>
  <si>
    <t xml:space="preserve">Мероприятие: "Оказание материальной помощи лицам, оказавшимся в трудной жизненной ситуации" </t>
  </si>
  <si>
    <t>Фактическое количество захороненных граждан, относящихся к категории в соотвествии с переданными государственными полномочиями- 66 чел.</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</si>
</sst>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_-* #,##0.0\ _₽_-;\-* #,##0.0\ _₽_-;_-* &quot;-&quot;??\ _₽_-;_-@_-"/>
  </numFmts>
  <fonts count="12"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11"/>
      <color theme="1"/>
      <name val="Times New Roman"/>
      <family val="1"/>
      <charset val="204"/>
    </font>
    <font>
      <sz val="11"/>
      <name val="Times New Roman"/>
      <family val="1"/>
      <charset val="204"/>
    </font>
    <font>
      <i/>
      <sz val="11"/>
      <name val="Times New Roman"/>
      <family val="1"/>
      <charset val="204"/>
    </font>
    <font>
      <sz val="11"/>
      <color theme="1"/>
      <name val="Calibri"/>
      <family val="2"/>
      <scheme val="minor"/>
    </font>
    <font>
      <b/>
      <sz val="11"/>
      <name val="Times New Roman"/>
      <family val="1"/>
      <charset val="204"/>
    </font>
    <font>
      <b/>
      <i/>
      <sz val="11"/>
      <name val="Times New Roman"/>
      <family val="1"/>
      <charset val="204"/>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xf numFmtId="43" fontId="1" fillId="0" borderId="0" applyFont="0" applyFill="0" applyBorder="0" applyAlignment="0" applyProtection="0"/>
    <xf numFmtId="43" fontId="8" fillId="0" borderId="0" applyFont="0" applyFill="0" applyBorder="0" applyAlignment="0" applyProtection="0"/>
  </cellStyleXfs>
  <cellXfs count="157">
    <xf numFmtId="0" fontId="0" fillId="0" borderId="0" xfId="0"/>
    <xf numFmtId="0" fontId="0" fillId="0" borderId="0" xfId="0" applyAlignment="1">
      <alignment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wrapText="1"/>
    </xf>
    <xf numFmtId="0" fontId="4" fillId="0" borderId="0" xfId="0" applyFont="1" applyAlignment="1">
      <alignment wrapText="1"/>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4" fillId="0" borderId="1" xfId="0" applyFont="1" applyBorder="1" applyAlignment="1">
      <alignment wrapText="1"/>
    </xf>
    <xf numFmtId="2" fontId="4"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3" fillId="0" borderId="5" xfId="0" applyFont="1" applyBorder="1" applyAlignment="1">
      <alignment horizontal="center" wrapText="1"/>
    </xf>
    <xf numFmtId="4" fontId="3" fillId="0" borderId="0" xfId="0" applyNumberFormat="1" applyFont="1" applyAlignment="1">
      <alignment horizontal="center" wrapText="1"/>
    </xf>
    <xf numFmtId="4" fontId="3" fillId="0" borderId="1" xfId="0" applyNumberFormat="1" applyFont="1" applyBorder="1" applyAlignment="1">
      <alignment wrapText="1"/>
    </xf>
    <xf numFmtId="4" fontId="3" fillId="0" borderId="0" xfId="0" applyNumberFormat="1" applyFont="1" applyAlignment="1">
      <alignment wrapText="1"/>
    </xf>
    <xf numFmtId="0" fontId="5" fillId="0" borderId="1" xfId="0" applyFont="1" applyBorder="1" applyAlignment="1">
      <alignment wrapText="1"/>
    </xf>
    <xf numFmtId="0" fontId="5" fillId="0" borderId="0" xfId="0" applyFont="1" applyAlignment="1">
      <alignment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wrapText="1"/>
    </xf>
    <xf numFmtId="0" fontId="4" fillId="2" borderId="1" xfId="0" applyFont="1" applyFill="1" applyBorder="1" applyAlignment="1">
      <alignment wrapText="1"/>
    </xf>
    <xf numFmtId="0" fontId="4" fillId="2" borderId="1" xfId="0" applyFont="1" applyFill="1" applyBorder="1" applyAlignment="1">
      <alignment horizontal="left" vertical="center" wrapText="1"/>
    </xf>
    <xf numFmtId="0" fontId="3" fillId="0" borderId="1" xfId="0" applyFont="1" applyBorder="1" applyAlignment="1">
      <alignment horizontal="center" vertical="center" wrapText="1"/>
    </xf>
    <xf numFmtId="43" fontId="4" fillId="0" borderId="0" xfId="3" applyFont="1" applyAlignment="1">
      <alignment wrapText="1"/>
    </xf>
    <xf numFmtId="43" fontId="4" fillId="0" borderId="0" xfId="0" applyNumberFormat="1" applyFont="1" applyAlignment="1">
      <alignment wrapText="1"/>
    </xf>
    <xf numFmtId="43" fontId="3" fillId="0" borderId="0" xfId="3" applyFont="1" applyAlignment="1">
      <alignment wrapText="1"/>
    </xf>
    <xf numFmtId="4" fontId="6" fillId="2" borderId="1" xfId="0" applyNumberFormat="1" applyFont="1" applyFill="1" applyBorder="1" applyAlignment="1">
      <alignment wrapText="1"/>
    </xf>
    <xf numFmtId="165" fontId="6"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 fontId="7" fillId="2" borderId="1" xfId="0" applyNumberFormat="1" applyFont="1" applyFill="1" applyBorder="1" applyAlignment="1">
      <alignment wrapText="1"/>
    </xf>
    <xf numFmtId="4" fontId="7" fillId="2" borderId="1" xfId="0" applyNumberFormat="1" applyFont="1" applyFill="1" applyBorder="1" applyAlignment="1">
      <alignment vertical="top" wrapText="1"/>
    </xf>
    <xf numFmtId="4" fontId="6" fillId="2" borderId="1" xfId="0" applyNumberFormat="1" applyFont="1" applyFill="1" applyBorder="1" applyAlignment="1">
      <alignment vertical="top" wrapText="1"/>
    </xf>
    <xf numFmtId="4" fontId="9" fillId="2" borderId="1" xfId="0" applyNumberFormat="1" applyFont="1" applyFill="1" applyBorder="1" applyAlignment="1">
      <alignment wrapText="1"/>
    </xf>
    <xf numFmtId="4" fontId="9" fillId="2" borderId="1" xfId="0" applyNumberFormat="1" applyFont="1" applyFill="1" applyBorder="1" applyAlignment="1">
      <alignment vertical="top" wrapText="1"/>
    </xf>
    <xf numFmtId="4" fontId="6" fillId="3" borderId="1" xfId="0" applyNumberFormat="1" applyFont="1" applyFill="1" applyBorder="1" applyAlignment="1">
      <alignment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10" fillId="2" borderId="1" xfId="0" applyNumberFormat="1" applyFont="1" applyFill="1" applyBorder="1" applyAlignment="1">
      <alignment wrapText="1"/>
    </xf>
    <xf numFmtId="4" fontId="3" fillId="0" borderId="6" xfId="0" applyNumberFormat="1" applyFont="1" applyBorder="1" applyAlignment="1">
      <alignment horizontal="center" vertical="center" wrapText="1"/>
    </xf>
    <xf numFmtId="43" fontId="6" fillId="2" borderId="6" xfId="3"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166"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164" fontId="6" fillId="2" borderId="6" xfId="3" applyNumberFormat="1" applyFont="1" applyFill="1" applyBorder="1" applyAlignment="1">
      <alignment horizontal="center" vertical="center" wrapText="1"/>
    </xf>
    <xf numFmtId="164" fontId="6" fillId="2" borderId="8" xfId="0" applyNumberFormat="1" applyFont="1" applyFill="1" applyBorder="1" applyAlignment="1">
      <alignment horizontal="center" vertical="top" wrapText="1"/>
    </xf>
    <xf numFmtId="164" fontId="9" fillId="2" borderId="6" xfId="0" applyNumberFormat="1" applyFont="1" applyFill="1" applyBorder="1" applyAlignment="1">
      <alignment horizontal="center" vertical="top" wrapText="1"/>
    </xf>
    <xf numFmtId="164" fontId="6" fillId="2" borderId="8"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top" wrapText="1"/>
    </xf>
    <xf numFmtId="164" fontId="6" fillId="2" borderId="7" xfId="0" applyNumberFormat="1" applyFont="1" applyFill="1" applyBorder="1" applyAlignment="1">
      <alignment horizontal="center" vertical="top" wrapText="1"/>
    </xf>
    <xf numFmtId="43" fontId="6" fillId="2" borderId="7" xfId="3" applyFont="1" applyFill="1" applyBorder="1" applyAlignment="1">
      <alignment horizontal="center" vertical="center" wrapText="1"/>
    </xf>
    <xf numFmtId="43" fontId="6" fillId="2" borderId="6" xfId="3" applyFont="1" applyFill="1" applyBorder="1" applyAlignment="1">
      <alignment horizontal="center" vertical="top" wrapText="1"/>
    </xf>
    <xf numFmtId="43" fontId="6" fillId="2" borderId="8" xfId="3" applyFont="1" applyFill="1" applyBorder="1" applyAlignment="1">
      <alignment horizontal="center" vertical="top" wrapText="1"/>
    </xf>
    <xf numFmtId="43" fontId="6" fillId="2" borderId="6" xfId="3" applyFont="1" applyFill="1" applyBorder="1" applyAlignment="1">
      <alignment horizontal="center"/>
    </xf>
    <xf numFmtId="43" fontId="6" fillId="2" borderId="8" xfId="3" applyFont="1" applyFill="1" applyBorder="1" applyAlignment="1">
      <alignment horizontal="center" vertical="center" wrapText="1"/>
    </xf>
    <xf numFmtId="43" fontId="6" fillId="2" borderId="6" xfId="3" applyFont="1" applyFill="1" applyBorder="1" applyAlignment="1" applyProtection="1">
      <alignment horizontal="center" vertical="center"/>
      <protection locked="0"/>
    </xf>
    <xf numFmtId="43" fontId="6" fillId="2" borderId="7" xfId="3" applyFont="1" applyFill="1" applyBorder="1" applyAlignment="1">
      <alignment horizontal="center" vertical="top" wrapText="1"/>
    </xf>
    <xf numFmtId="43" fontId="6" fillId="2" borderId="6" xfId="3" applyFont="1" applyFill="1" applyBorder="1" applyAlignment="1">
      <alignment horizontal="center" vertical="top"/>
    </xf>
    <xf numFmtId="43" fontId="6" fillId="2" borderId="7" xfId="3" applyFont="1" applyFill="1" applyBorder="1" applyAlignment="1">
      <alignment horizontal="center"/>
    </xf>
    <xf numFmtId="43" fontId="6" fillId="2" borderId="6" xfId="3" applyFont="1" applyFill="1" applyBorder="1" applyAlignment="1">
      <alignment horizontal="center" vertical="center"/>
    </xf>
    <xf numFmtId="4" fontId="4" fillId="0" borderId="11" xfId="0" applyNumberFormat="1" applyFont="1" applyBorder="1" applyAlignment="1">
      <alignment wrapText="1"/>
    </xf>
    <xf numFmtId="4" fontId="3" fillId="0" borderId="11" xfId="0" applyNumberFormat="1" applyFont="1" applyBorder="1" applyAlignment="1">
      <alignment wrapText="1"/>
    </xf>
    <xf numFmtId="4" fontId="5" fillId="0" borderId="11" xfId="0" applyNumberFormat="1" applyFont="1" applyBorder="1" applyAlignment="1">
      <alignment wrapText="1"/>
    </xf>
    <xf numFmtId="4" fontId="3" fillId="2" borderId="0" xfId="0" applyNumberFormat="1" applyFont="1" applyFill="1" applyBorder="1" applyAlignment="1">
      <alignment horizontal="center" wrapText="1"/>
    </xf>
    <xf numFmtId="4" fontId="3" fillId="2" borderId="0" xfId="0" applyNumberFormat="1" applyFont="1" applyFill="1" applyBorder="1" applyAlignment="1">
      <alignment wrapText="1"/>
    </xf>
    <xf numFmtId="4" fontId="6" fillId="2" borderId="1" xfId="0" applyNumberFormat="1" applyFont="1" applyFill="1" applyBorder="1" applyAlignment="1">
      <alignment horizontal="center"/>
    </xf>
    <xf numFmtId="0" fontId="3" fillId="2" borderId="1"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top" wrapText="1"/>
    </xf>
    <xf numFmtId="0" fontId="4" fillId="2" borderId="1" xfId="0" applyFont="1" applyFill="1" applyBorder="1" applyAlignment="1">
      <alignment horizontal="left" vertical="top" wrapText="1"/>
    </xf>
    <xf numFmtId="2" fontId="4"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5" fillId="2" borderId="4" xfId="0" applyFont="1" applyFill="1" applyBorder="1" applyAlignment="1">
      <alignment horizontal="center" vertical="top" wrapText="1"/>
    </xf>
    <xf numFmtId="0" fontId="6" fillId="2" borderId="1" xfId="0" applyFont="1" applyFill="1" applyBorder="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vertical="top" wrapText="1"/>
    </xf>
    <xf numFmtId="0" fontId="3" fillId="2" borderId="1" xfId="0" applyFont="1" applyFill="1" applyBorder="1" applyAlignment="1">
      <alignment horizontal="center" vertical="center"/>
    </xf>
    <xf numFmtId="2" fontId="4" fillId="2" borderId="1" xfId="0" applyNumberFormat="1" applyFont="1" applyFill="1" applyBorder="1" applyAlignment="1">
      <alignment horizontal="left" vertical="center" wrapText="1"/>
    </xf>
    <xf numFmtId="0" fontId="4" fillId="2" borderId="0" xfId="0" applyFont="1" applyFill="1" applyAlignment="1">
      <alignment wrapText="1"/>
    </xf>
    <xf numFmtId="2" fontId="3"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left" vertical="center" wrapText="1"/>
    </xf>
    <xf numFmtId="2" fontId="3" fillId="2" borderId="0" xfId="0" applyNumberFormat="1" applyFont="1" applyFill="1" applyAlignment="1">
      <alignment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3"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43" fontId="4" fillId="2" borderId="2" xfId="3" applyFont="1" applyFill="1" applyBorder="1" applyAlignment="1">
      <alignment horizontal="left" vertical="top" wrapText="1"/>
    </xf>
    <xf numFmtId="43" fontId="4" fillId="2" borderId="4" xfId="3" applyFont="1" applyFill="1" applyBorder="1" applyAlignment="1">
      <alignment horizontal="left" vertical="top" wrapText="1"/>
    </xf>
    <xf numFmtId="43" fontId="4" fillId="2" borderId="3" xfId="3"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4" fontId="3" fillId="0" borderId="9"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43" fontId="3" fillId="2" borderId="2" xfId="0" applyNumberFormat="1" applyFont="1" applyFill="1" applyBorder="1" applyAlignment="1">
      <alignment horizontal="center" vertical="top" wrapText="1"/>
    </xf>
    <xf numFmtId="4" fontId="3" fillId="2" borderId="2" xfId="0" applyNumberFormat="1"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3"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3"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165" fontId="7" fillId="2" borderId="2" xfId="0" applyNumberFormat="1" applyFont="1" applyFill="1" applyBorder="1" applyAlignment="1">
      <alignment horizontal="center" vertical="center" wrapText="1"/>
    </xf>
    <xf numFmtId="165" fontId="7" fillId="2" borderId="4" xfId="0" applyNumberFormat="1" applyFont="1" applyFill="1" applyBorder="1" applyAlignment="1">
      <alignment horizontal="center" vertical="center" wrapText="1"/>
    </xf>
    <xf numFmtId="165" fontId="7" fillId="2" borderId="3"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0" fillId="2" borderId="4" xfId="0" applyFill="1" applyBorder="1" applyAlignment="1">
      <alignment horizontal="center" vertical="top" wrapText="1"/>
    </xf>
    <xf numFmtId="0" fontId="0" fillId="2" borderId="3" xfId="0" applyFill="1" applyBorder="1" applyAlignment="1">
      <alignment horizontal="center" vertical="top" wrapText="1"/>
    </xf>
    <xf numFmtId="165" fontId="7" fillId="2" borderId="2" xfId="0" applyNumberFormat="1"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3" xfId="0" applyFont="1" applyFill="1" applyBorder="1" applyAlignment="1">
      <alignment horizontal="center" vertical="top" wrapText="1"/>
    </xf>
    <xf numFmtId="0" fontId="5"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5" fillId="2" borderId="8" xfId="0" applyFont="1" applyFill="1" applyBorder="1" applyAlignment="1">
      <alignment horizontal="center" vertical="top" wrapText="1"/>
    </xf>
    <xf numFmtId="0" fontId="0" fillId="2" borderId="12" xfId="0" applyFill="1" applyBorder="1" applyAlignment="1">
      <alignment horizontal="center" vertical="top" wrapText="1"/>
    </xf>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wrapText="1"/>
    </xf>
    <xf numFmtId="0" fontId="4" fillId="0" borderId="0" xfId="0" applyFont="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6" fillId="2" borderId="1" xfId="0" applyFont="1" applyFill="1" applyBorder="1" applyAlignment="1">
      <alignment horizontal="center"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0" fontId="4" fillId="2" borderId="0" xfId="0" applyFont="1" applyFill="1" applyAlignment="1">
      <alignment horizontal="center" wrapText="1"/>
    </xf>
    <xf numFmtId="2" fontId="3" fillId="2" borderId="1"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165" fontId="3" fillId="0" borderId="11" xfId="0" applyNumberFormat="1" applyFont="1" applyBorder="1" applyAlignment="1">
      <alignment wrapText="1"/>
    </xf>
    <xf numFmtId="165" fontId="5" fillId="0" borderId="11" xfId="0" applyNumberFormat="1" applyFont="1" applyBorder="1" applyAlignment="1">
      <alignment wrapText="1"/>
    </xf>
  </cellXfs>
  <cellStyles count="4">
    <cellStyle name="Обычный" xfId="0" builtinId="0"/>
    <cellStyle name="Обычный 2" xfId="1"/>
    <cellStyle name="Финансовый" xfId="3" builtinId="3"/>
    <cellStyle name="Финансовый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301"/>
  <sheetViews>
    <sheetView tabSelected="1" topLeftCell="A225" zoomScale="80" zoomScaleNormal="80" workbookViewId="0">
      <selection activeCell="H237" sqref="H237:H241"/>
    </sheetView>
  </sheetViews>
  <sheetFormatPr defaultColWidth="8.85546875" defaultRowHeight="15" x14ac:dyDescent="0.25"/>
  <cols>
    <col min="1" max="1" width="6.42578125" style="26" customWidth="1"/>
    <col min="2" max="2" width="40.85546875" style="26" customWidth="1"/>
    <col min="3" max="3" width="9" style="6" customWidth="1"/>
    <col min="4" max="4" width="14.5703125" style="16" customWidth="1"/>
    <col min="5" max="5" width="15" style="71" customWidth="1"/>
    <col min="6" max="6" width="11.5703125" style="16" customWidth="1"/>
    <col min="7" max="7" width="46.28515625" style="82" customWidth="1"/>
    <col min="8" max="8" width="60" style="82" customWidth="1"/>
    <col min="9" max="9" width="13" style="83" customWidth="1"/>
    <col min="10" max="10" width="11" style="84" customWidth="1"/>
    <col min="11" max="11" width="42.28515625" style="82" customWidth="1"/>
    <col min="12" max="12" width="8.85546875" style="6"/>
    <col min="13" max="13" width="13.85546875" style="6" customWidth="1"/>
    <col min="14" max="14" width="11.28515625" style="6" bestFit="1" customWidth="1"/>
    <col min="15" max="16384" width="8.85546875" style="6"/>
  </cols>
  <sheetData>
    <row r="1" spans="1:14" ht="14.45" customHeight="1" x14ac:dyDescent="0.25">
      <c r="A1" s="138" t="s">
        <v>35</v>
      </c>
      <c r="B1" s="138"/>
      <c r="C1" s="138"/>
      <c r="D1" s="138"/>
      <c r="E1" s="138"/>
      <c r="F1" s="138"/>
      <c r="G1" s="138"/>
      <c r="H1" s="138"/>
      <c r="I1" s="138"/>
      <c r="J1" s="138"/>
      <c r="K1" s="138"/>
    </row>
    <row r="2" spans="1:14" x14ac:dyDescent="0.25">
      <c r="A2" s="139" t="s">
        <v>87</v>
      </c>
      <c r="B2" s="139"/>
      <c r="C2" s="139"/>
      <c r="D2" s="139"/>
      <c r="E2" s="139"/>
      <c r="F2" s="139"/>
      <c r="G2" s="139"/>
      <c r="H2" s="139"/>
      <c r="I2" s="139"/>
      <c r="J2" s="139"/>
      <c r="K2" s="139"/>
    </row>
    <row r="3" spans="1:14" x14ac:dyDescent="0.25">
      <c r="A3" s="138" t="s">
        <v>238</v>
      </c>
      <c r="B3" s="138"/>
      <c r="C3" s="138"/>
      <c r="D3" s="138"/>
      <c r="E3" s="138"/>
      <c r="F3" s="138"/>
      <c r="G3" s="138"/>
      <c r="H3" s="138"/>
      <c r="I3" s="138"/>
      <c r="J3" s="138"/>
      <c r="K3" s="138"/>
    </row>
    <row r="4" spans="1:14" x14ac:dyDescent="0.25">
      <c r="A4" s="25"/>
      <c r="B4" s="25"/>
      <c r="C4" s="13"/>
      <c r="E4" s="70"/>
      <c r="F4" s="14"/>
      <c r="G4" s="74"/>
      <c r="H4" s="74"/>
      <c r="I4" s="75"/>
      <c r="J4" s="76"/>
      <c r="K4" s="74"/>
    </row>
    <row r="5" spans="1:14" ht="31.15" customHeight="1" x14ac:dyDescent="0.25">
      <c r="A5" s="104" t="s">
        <v>0</v>
      </c>
      <c r="B5" s="104" t="s">
        <v>1</v>
      </c>
      <c r="C5" s="108" t="s">
        <v>2</v>
      </c>
      <c r="D5" s="108"/>
      <c r="E5" s="108"/>
      <c r="F5" s="109" t="s">
        <v>4</v>
      </c>
      <c r="G5" s="107" t="s">
        <v>5</v>
      </c>
      <c r="H5" s="107"/>
      <c r="I5" s="107"/>
      <c r="J5" s="104" t="s">
        <v>9</v>
      </c>
      <c r="K5" s="107" t="s">
        <v>10</v>
      </c>
    </row>
    <row r="6" spans="1:14" ht="45" x14ac:dyDescent="0.25">
      <c r="A6" s="106"/>
      <c r="B6" s="106"/>
      <c r="C6" s="9" t="s">
        <v>11</v>
      </c>
      <c r="D6" s="46" t="s">
        <v>3</v>
      </c>
      <c r="E6" s="44" t="s">
        <v>12</v>
      </c>
      <c r="F6" s="110"/>
      <c r="G6" s="42" t="s">
        <v>6</v>
      </c>
      <c r="H6" s="42" t="s">
        <v>7</v>
      </c>
      <c r="I6" s="42" t="s">
        <v>8</v>
      </c>
      <c r="J6" s="106"/>
      <c r="K6" s="107"/>
    </row>
    <row r="7" spans="1:14" s="7" customFormat="1" x14ac:dyDescent="0.2">
      <c r="A7" s="94"/>
      <c r="B7" s="94" t="s">
        <v>88</v>
      </c>
      <c r="C7" s="10" t="s">
        <v>13</v>
      </c>
      <c r="D7" s="47">
        <v>948370.90000000014</v>
      </c>
      <c r="E7" s="39">
        <f>E8+E9+E10+E11</f>
        <v>956677.10299999989</v>
      </c>
      <c r="F7" s="67">
        <f>E7/D7*100</f>
        <v>100.87583908363275</v>
      </c>
      <c r="G7" s="101"/>
      <c r="H7" s="77" t="s">
        <v>18</v>
      </c>
      <c r="I7" s="43">
        <f>I47+I112+I227+I267</f>
        <v>30</v>
      </c>
      <c r="J7" s="95" t="s">
        <v>23</v>
      </c>
      <c r="K7" s="91" t="s">
        <v>23</v>
      </c>
    </row>
    <row r="8" spans="1:14" s="7" customFormat="1" x14ac:dyDescent="0.2">
      <c r="A8" s="94"/>
      <c r="B8" s="94"/>
      <c r="C8" s="10" t="s">
        <v>14</v>
      </c>
      <c r="D8" s="47">
        <v>108903.70000000001</v>
      </c>
      <c r="E8" s="39">
        <f>E48+E113+E228+E268</f>
        <v>107808.163</v>
      </c>
      <c r="F8" s="67">
        <f>E8/D8*100</f>
        <v>98.994031424093023</v>
      </c>
      <c r="G8" s="102"/>
      <c r="H8" s="77" t="s">
        <v>19</v>
      </c>
      <c r="I8" s="43">
        <f>I48+I113+I228+I268</f>
        <v>29</v>
      </c>
      <c r="J8" s="96"/>
      <c r="K8" s="92"/>
      <c r="M8" s="30"/>
      <c r="N8" s="31"/>
    </row>
    <row r="9" spans="1:14" s="7" customFormat="1" x14ac:dyDescent="0.2">
      <c r="A9" s="94"/>
      <c r="B9" s="94"/>
      <c r="C9" s="10" t="s">
        <v>16</v>
      </c>
      <c r="D9" s="47">
        <v>839467.20000000007</v>
      </c>
      <c r="E9" s="39">
        <f>E49+E114+E229+E269</f>
        <v>848868.94</v>
      </c>
      <c r="F9" s="67">
        <f>E9/D9*100</f>
        <v>101.11996513979342</v>
      </c>
      <c r="G9" s="102"/>
      <c r="H9" s="77" t="s">
        <v>20</v>
      </c>
      <c r="I9" s="43">
        <f>I49+I114+I229+I269</f>
        <v>1</v>
      </c>
      <c r="J9" s="96"/>
      <c r="K9" s="92"/>
      <c r="M9" s="30"/>
      <c r="N9" s="31"/>
    </row>
    <row r="10" spans="1:14" s="7" customFormat="1" x14ac:dyDescent="0.2">
      <c r="A10" s="94"/>
      <c r="B10" s="94"/>
      <c r="C10" s="10" t="s">
        <v>15</v>
      </c>
      <c r="D10" s="48">
        <v>0</v>
      </c>
      <c r="E10" s="39">
        <f>E50+E115+E230+E270</f>
        <v>0</v>
      </c>
      <c r="F10" s="67"/>
      <c r="G10" s="102"/>
      <c r="H10" s="77" t="s">
        <v>21</v>
      </c>
      <c r="I10" s="43">
        <f>I50+I115+I230+I270</f>
        <v>0</v>
      </c>
      <c r="J10" s="96"/>
      <c r="K10" s="92"/>
    </row>
    <row r="11" spans="1:14" s="7" customFormat="1" ht="31.5" customHeight="1" x14ac:dyDescent="0.2">
      <c r="A11" s="94"/>
      <c r="B11" s="94"/>
      <c r="C11" s="10" t="s">
        <v>17</v>
      </c>
      <c r="D11" s="48">
        <v>0</v>
      </c>
      <c r="E11" s="39">
        <f>E51+E116+E231+E271</f>
        <v>0</v>
      </c>
      <c r="F11" s="67"/>
      <c r="G11" s="103"/>
      <c r="H11" s="77" t="s">
        <v>22</v>
      </c>
      <c r="I11" s="78">
        <f>I8/I7*100</f>
        <v>96.666666666666671</v>
      </c>
      <c r="J11" s="97"/>
      <c r="K11" s="93"/>
    </row>
    <row r="12" spans="1:14" s="7" customFormat="1" x14ac:dyDescent="0.25">
      <c r="A12" s="107"/>
      <c r="B12" s="107" t="s">
        <v>89</v>
      </c>
      <c r="C12" s="2" t="s">
        <v>13</v>
      </c>
      <c r="D12" s="49">
        <v>324234.5</v>
      </c>
      <c r="E12" s="41">
        <f>E13+E14+E15+E16</f>
        <v>298066.17</v>
      </c>
      <c r="F12" s="68">
        <f>E12/D12*100</f>
        <v>91.929196306993859</v>
      </c>
      <c r="G12" s="111"/>
      <c r="H12" s="73" t="s">
        <v>18</v>
      </c>
      <c r="I12" s="42">
        <f>COUNTA(I62:I76)+COUNTA(I82:I91)+COUNTA(I237)</f>
        <v>6</v>
      </c>
      <c r="J12" s="95" t="s">
        <v>23</v>
      </c>
      <c r="K12" s="91" t="s">
        <v>23</v>
      </c>
    </row>
    <row r="13" spans="1:14" s="7" customFormat="1" x14ac:dyDescent="0.25">
      <c r="A13" s="107"/>
      <c r="B13" s="107"/>
      <c r="C13" s="2" t="s">
        <v>14</v>
      </c>
      <c r="D13" s="49">
        <v>958.2</v>
      </c>
      <c r="E13" s="33">
        <f>E238</f>
        <v>931.2</v>
      </c>
      <c r="F13" s="68">
        <f>E13/D13*100</f>
        <v>97.182216656230437</v>
      </c>
      <c r="G13" s="99"/>
      <c r="H13" s="73" t="s">
        <v>19</v>
      </c>
      <c r="I13" s="42">
        <f>COUNTIF(I62:I76,"да")+COUNTIF(I82:I91,"да")+COUNTIF(I237,"да")</f>
        <v>6</v>
      </c>
      <c r="J13" s="96"/>
      <c r="K13" s="92"/>
    </row>
    <row r="14" spans="1:14" s="7" customFormat="1" x14ac:dyDescent="0.25">
      <c r="A14" s="107"/>
      <c r="B14" s="107"/>
      <c r="C14" s="2" t="s">
        <v>16</v>
      </c>
      <c r="D14" s="49">
        <v>323276.3</v>
      </c>
      <c r="E14" s="33">
        <f>E54+E84+E89</f>
        <v>297134.96999999997</v>
      </c>
      <c r="F14" s="68">
        <f>E14/D14*100</f>
        <v>91.913626207674355</v>
      </c>
      <c r="G14" s="99"/>
      <c r="H14" s="73" t="s">
        <v>20</v>
      </c>
      <c r="I14" s="42">
        <f>COUNTIF(I62:I76,"частично")+COUNTIF(I82:I91,"частично")+COUNTIF(I237,"частично")</f>
        <v>0</v>
      </c>
      <c r="J14" s="96"/>
      <c r="K14" s="92"/>
    </row>
    <row r="15" spans="1:14" s="7" customFormat="1" x14ac:dyDescent="0.25">
      <c r="A15" s="107"/>
      <c r="B15" s="107"/>
      <c r="C15" s="2" t="s">
        <v>15</v>
      </c>
      <c r="D15" s="48">
        <v>0</v>
      </c>
      <c r="E15" s="33">
        <v>0</v>
      </c>
      <c r="F15" s="68"/>
      <c r="G15" s="99"/>
      <c r="H15" s="73" t="s">
        <v>21</v>
      </c>
      <c r="I15" s="42">
        <f>COUNTIF(I62:I76,"нет")+COUNTIF(I82:I91,"нет")+COUNTIF(I237,"нет")</f>
        <v>0</v>
      </c>
      <c r="J15" s="96"/>
      <c r="K15" s="92"/>
    </row>
    <row r="16" spans="1:14" s="7" customFormat="1" ht="28.5" customHeight="1" x14ac:dyDescent="0.25">
      <c r="A16" s="107"/>
      <c r="B16" s="107"/>
      <c r="C16" s="2" t="s">
        <v>17</v>
      </c>
      <c r="D16" s="48">
        <v>0</v>
      </c>
      <c r="E16" s="33">
        <v>0</v>
      </c>
      <c r="F16" s="68"/>
      <c r="G16" s="100"/>
      <c r="H16" s="73" t="s">
        <v>22</v>
      </c>
      <c r="I16" s="79">
        <f>I13/I12*100</f>
        <v>100</v>
      </c>
      <c r="J16" s="97"/>
      <c r="K16" s="93"/>
    </row>
    <row r="17" spans="1:11" s="7" customFormat="1" x14ac:dyDescent="0.25">
      <c r="A17" s="107"/>
      <c r="B17" s="107" t="s">
        <v>90</v>
      </c>
      <c r="C17" s="2" t="s">
        <v>13</v>
      </c>
      <c r="D17" s="50">
        <v>480263.5</v>
      </c>
      <c r="E17" s="41">
        <f>E18+E19+E20+E21</f>
        <v>518737.98</v>
      </c>
      <c r="F17" s="68">
        <f>E17/D17*100</f>
        <v>108.01111889618929</v>
      </c>
      <c r="G17" s="98"/>
      <c r="H17" s="73" t="s">
        <v>18</v>
      </c>
      <c r="I17" s="42">
        <f>COUNTA(I92)</f>
        <v>1</v>
      </c>
      <c r="J17" s="95" t="s">
        <v>23</v>
      </c>
      <c r="K17" s="91" t="s">
        <v>23</v>
      </c>
    </row>
    <row r="18" spans="1:11" s="7" customFormat="1" x14ac:dyDescent="0.25">
      <c r="A18" s="107"/>
      <c r="B18" s="107"/>
      <c r="C18" s="2" t="s">
        <v>14</v>
      </c>
      <c r="D18" s="50">
        <v>0</v>
      </c>
      <c r="E18" s="33">
        <v>0</v>
      </c>
      <c r="F18" s="68"/>
      <c r="G18" s="99"/>
      <c r="H18" s="73" t="s">
        <v>19</v>
      </c>
      <c r="I18" s="42">
        <f>COUNTIF(I92,"да")</f>
        <v>1</v>
      </c>
      <c r="J18" s="96"/>
      <c r="K18" s="92"/>
    </row>
    <row r="19" spans="1:11" s="7" customFormat="1" x14ac:dyDescent="0.25">
      <c r="A19" s="107"/>
      <c r="B19" s="107"/>
      <c r="C19" s="2" t="s">
        <v>16</v>
      </c>
      <c r="D19" s="48">
        <v>480263.5</v>
      </c>
      <c r="E19" s="33">
        <f>E94</f>
        <v>518737.98</v>
      </c>
      <c r="F19" s="68">
        <f>E19/D19*100</f>
        <v>108.01111889618929</v>
      </c>
      <c r="G19" s="99"/>
      <c r="H19" s="73" t="s">
        <v>20</v>
      </c>
      <c r="I19" s="42">
        <f>COUNTIF(I92,"частично")</f>
        <v>0</v>
      </c>
      <c r="J19" s="96"/>
      <c r="K19" s="92"/>
    </row>
    <row r="20" spans="1:11" s="7" customFormat="1" x14ac:dyDescent="0.25">
      <c r="A20" s="107"/>
      <c r="B20" s="107"/>
      <c r="C20" s="2" t="s">
        <v>15</v>
      </c>
      <c r="D20" s="48">
        <v>0</v>
      </c>
      <c r="E20" s="33">
        <v>0</v>
      </c>
      <c r="F20" s="68"/>
      <c r="G20" s="99"/>
      <c r="H20" s="73" t="s">
        <v>21</v>
      </c>
      <c r="I20" s="42">
        <f>COUNTIF(I92,"нет")</f>
        <v>0</v>
      </c>
      <c r="J20" s="96"/>
      <c r="K20" s="92"/>
    </row>
    <row r="21" spans="1:11" s="7" customFormat="1" x14ac:dyDescent="0.25">
      <c r="A21" s="107"/>
      <c r="B21" s="107"/>
      <c r="C21" s="2" t="s">
        <v>17</v>
      </c>
      <c r="D21" s="48">
        <v>0</v>
      </c>
      <c r="E21" s="33">
        <v>0</v>
      </c>
      <c r="F21" s="68"/>
      <c r="G21" s="100"/>
      <c r="H21" s="73" t="s">
        <v>22</v>
      </c>
      <c r="I21" s="79">
        <f>I18/I17*100</f>
        <v>100</v>
      </c>
      <c r="J21" s="97"/>
      <c r="K21" s="93"/>
    </row>
    <row r="22" spans="1:11" s="7" customFormat="1" x14ac:dyDescent="0.25">
      <c r="A22" s="107"/>
      <c r="B22" s="107" t="s">
        <v>91</v>
      </c>
      <c r="C22" s="2" t="s">
        <v>13</v>
      </c>
      <c r="D22" s="48">
        <v>14557.900000000001</v>
      </c>
      <c r="E22" s="41">
        <f>E23+E24+E25+E26</f>
        <v>13817.599999999999</v>
      </c>
      <c r="F22" s="68">
        <f>E22/D22*100</f>
        <v>94.91478853406052</v>
      </c>
      <c r="G22" s="98"/>
      <c r="H22" s="73" t="s">
        <v>18</v>
      </c>
      <c r="I22" s="42">
        <f>COUNTA(I97:I106,I132,I247,I257:I266)</f>
        <v>4</v>
      </c>
      <c r="J22" s="95" t="s">
        <v>23</v>
      </c>
      <c r="K22" s="91" t="s">
        <v>23</v>
      </c>
    </row>
    <row r="23" spans="1:11" s="7" customFormat="1" x14ac:dyDescent="0.25">
      <c r="A23" s="107"/>
      <c r="B23" s="107"/>
      <c r="C23" s="2" t="s">
        <v>14</v>
      </c>
      <c r="D23" s="48">
        <v>6987.8</v>
      </c>
      <c r="E23" s="33">
        <f>E98+E133+E248</f>
        <v>6256.2</v>
      </c>
      <c r="F23" s="68">
        <f>E23/D23*100</f>
        <v>89.530324279458483</v>
      </c>
      <c r="G23" s="99"/>
      <c r="H23" s="73" t="s">
        <v>19</v>
      </c>
      <c r="I23" s="42">
        <f>COUNTIF(I97:I106,"да")+COUNTIF(I132,"да")+COUNTIF(I247,"да")+COUNTIF(I257:I266,"да")</f>
        <v>3</v>
      </c>
      <c r="J23" s="96"/>
      <c r="K23" s="92"/>
    </row>
    <row r="24" spans="1:11" s="7" customFormat="1" x14ac:dyDescent="0.25">
      <c r="A24" s="107"/>
      <c r="B24" s="107"/>
      <c r="C24" s="2" t="s">
        <v>16</v>
      </c>
      <c r="D24" s="48">
        <v>7570.1</v>
      </c>
      <c r="E24" s="33">
        <f>E104+E109</f>
        <v>7561.4</v>
      </c>
      <c r="F24" s="68">
        <f>E24/D24*100</f>
        <v>99.885074173392681</v>
      </c>
      <c r="G24" s="99"/>
      <c r="H24" s="73" t="s">
        <v>20</v>
      </c>
      <c r="I24" s="42">
        <f>COUNTIF(I97:I106,"частично")+COUNTIF(I132,"частично")+COUNTIF(I247,"частично")+COUNTIF(I257:I266,"частично")</f>
        <v>1</v>
      </c>
      <c r="J24" s="96"/>
      <c r="K24" s="92"/>
    </row>
    <row r="25" spans="1:11" s="7" customFormat="1" x14ac:dyDescent="0.25">
      <c r="A25" s="107"/>
      <c r="B25" s="107"/>
      <c r="C25" s="2" t="s">
        <v>15</v>
      </c>
      <c r="D25" s="48">
        <v>0</v>
      </c>
      <c r="E25" s="33">
        <v>0</v>
      </c>
      <c r="F25" s="68"/>
      <c r="G25" s="99"/>
      <c r="H25" s="73" t="s">
        <v>21</v>
      </c>
      <c r="I25" s="42">
        <f>COUNTIF(I97:I106,"нет")+COUNTIF(I132,"нет")+COUNTIF(I247,"нет")+COUNTIF(I257:I266,"нет")</f>
        <v>0</v>
      </c>
      <c r="J25" s="96"/>
      <c r="K25" s="92"/>
    </row>
    <row r="26" spans="1:11" s="7" customFormat="1" x14ac:dyDescent="0.25">
      <c r="A26" s="107"/>
      <c r="B26" s="107"/>
      <c r="C26" s="2" t="s">
        <v>17</v>
      </c>
      <c r="D26" s="48">
        <v>0</v>
      </c>
      <c r="E26" s="33">
        <v>0</v>
      </c>
      <c r="F26" s="68"/>
      <c r="G26" s="100"/>
      <c r="H26" s="73" t="s">
        <v>22</v>
      </c>
      <c r="I26" s="79">
        <f>I23/I22*100</f>
        <v>75</v>
      </c>
      <c r="J26" s="97"/>
      <c r="K26" s="93"/>
    </row>
    <row r="27" spans="1:11" s="7" customFormat="1" x14ac:dyDescent="0.25">
      <c r="A27" s="107"/>
      <c r="B27" s="107" t="s">
        <v>24</v>
      </c>
      <c r="C27" s="2" t="s">
        <v>13</v>
      </c>
      <c r="D27" s="48">
        <v>124591.3</v>
      </c>
      <c r="E27" s="41">
        <f>E28+E29+E30+E31</f>
        <v>122323.65299999999</v>
      </c>
      <c r="F27" s="68">
        <f>E27/D27*100</f>
        <v>98.179931504045612</v>
      </c>
      <c r="G27" s="112"/>
      <c r="H27" s="73" t="s">
        <v>18</v>
      </c>
      <c r="I27" s="42">
        <f>COUNTA(I122:I141,I147:I161,I167:I186,I192,I252,I277:I301)</f>
        <v>17</v>
      </c>
      <c r="J27" s="95" t="s">
        <v>23</v>
      </c>
      <c r="K27" s="91" t="s">
        <v>23</v>
      </c>
    </row>
    <row r="28" spans="1:11" s="7" customFormat="1" x14ac:dyDescent="0.25">
      <c r="A28" s="107"/>
      <c r="B28" s="107"/>
      <c r="C28" s="2" t="s">
        <v>14</v>
      </c>
      <c r="D28" s="48">
        <v>100949.1</v>
      </c>
      <c r="E28" s="33">
        <f>E123+E128+E138+E143+E163+E188+E268</f>
        <v>100614.723</v>
      </c>
      <c r="F28" s="68">
        <f>E28/D28*100</f>
        <v>99.668766734918876</v>
      </c>
      <c r="G28" s="99"/>
      <c r="H28" s="73" t="s">
        <v>19</v>
      </c>
      <c r="I28" s="42">
        <f>COUNTIF(I122:I141,"да")+COUNTIF(I147:I161,"да")+COUNTIF(I167:I186,"да")+COUNTIF(I192,"да")+COUNTIF(I252,"да")+COUNTIF(I277:I301,"да")</f>
        <v>17</v>
      </c>
      <c r="J28" s="96"/>
      <c r="K28" s="92"/>
    </row>
    <row r="29" spans="1:11" s="7" customFormat="1" x14ac:dyDescent="0.25">
      <c r="A29" s="107"/>
      <c r="B29" s="107"/>
      <c r="C29" s="2" t="s">
        <v>16</v>
      </c>
      <c r="D29" s="48">
        <v>23642.2</v>
      </c>
      <c r="E29" s="33">
        <f>E194+E269</f>
        <v>21708.93</v>
      </c>
      <c r="F29" s="68">
        <f>E29/D29*100</f>
        <v>91.822799908637947</v>
      </c>
      <c r="G29" s="99"/>
      <c r="H29" s="73" t="s">
        <v>20</v>
      </c>
      <c r="I29" s="42">
        <f>COUNTIF(I122:I141,"частично")+COUNTIF(I147:I161,"частично")+COUNTIF(I167:I186,"частично")+COUNTIF(I192,"частично")+COUNTIF(I252,"частично")+COUNTIF(I277:I301,"частично")</f>
        <v>0</v>
      </c>
      <c r="J29" s="96"/>
      <c r="K29" s="92"/>
    </row>
    <row r="30" spans="1:11" s="7" customFormat="1" x14ac:dyDescent="0.25">
      <c r="A30" s="107"/>
      <c r="B30" s="107"/>
      <c r="C30" s="2" t="s">
        <v>15</v>
      </c>
      <c r="D30" s="48">
        <v>0</v>
      </c>
      <c r="E30" s="33">
        <v>0</v>
      </c>
      <c r="F30" s="68"/>
      <c r="G30" s="99"/>
      <c r="H30" s="73" t="s">
        <v>21</v>
      </c>
      <c r="I30" s="42">
        <f>COUNTIF(I122:I141,"нет")+COUNTIF(I147:I161,"нет")+COUNTIF(I167:I186,"нет")+COUNTIF(I192,"нет")+COUNTIF(I252,"нет")+COUNTIF(I277:I301,"нет")</f>
        <v>0</v>
      </c>
      <c r="J30" s="96"/>
      <c r="K30" s="92"/>
    </row>
    <row r="31" spans="1:11" s="7" customFormat="1" x14ac:dyDescent="0.25">
      <c r="A31" s="107"/>
      <c r="B31" s="107"/>
      <c r="C31" s="2" t="s">
        <v>17</v>
      </c>
      <c r="D31" s="48">
        <v>0</v>
      </c>
      <c r="E31" s="33">
        <v>0</v>
      </c>
      <c r="F31" s="68"/>
      <c r="G31" s="100"/>
      <c r="H31" s="73" t="s">
        <v>22</v>
      </c>
      <c r="I31" s="79">
        <f>I28/I27*100</f>
        <v>100</v>
      </c>
      <c r="J31" s="97"/>
      <c r="K31" s="93"/>
    </row>
    <row r="32" spans="1:11" x14ac:dyDescent="0.25">
      <c r="A32" s="107"/>
      <c r="B32" s="107" t="s">
        <v>92</v>
      </c>
      <c r="C32" s="2" t="s">
        <v>13</v>
      </c>
      <c r="D32" s="48">
        <v>1252.8</v>
      </c>
      <c r="E32" s="41">
        <f>E33+E34+E35+E36</f>
        <v>636.03</v>
      </c>
      <c r="F32" s="68">
        <f>E32/D32*100</f>
        <v>50.768678160919542</v>
      </c>
      <c r="G32" s="98"/>
      <c r="H32" s="73" t="s">
        <v>18</v>
      </c>
      <c r="I32" s="42">
        <f>COUNTA(I222)</f>
        <v>1</v>
      </c>
      <c r="J32" s="95" t="s">
        <v>23</v>
      </c>
      <c r="K32" s="91" t="s">
        <v>23</v>
      </c>
    </row>
    <row r="33" spans="1:11" x14ac:dyDescent="0.25">
      <c r="A33" s="107"/>
      <c r="B33" s="107"/>
      <c r="C33" s="2" t="s">
        <v>14</v>
      </c>
      <c r="D33" s="48">
        <v>0</v>
      </c>
      <c r="E33" s="33">
        <v>0</v>
      </c>
      <c r="F33" s="68"/>
      <c r="G33" s="99"/>
      <c r="H33" s="73" t="s">
        <v>19</v>
      </c>
      <c r="I33" s="42">
        <f>COUNTIF(I222,"да")</f>
        <v>1</v>
      </c>
      <c r="J33" s="96"/>
      <c r="K33" s="92"/>
    </row>
    <row r="34" spans="1:11" x14ac:dyDescent="0.25">
      <c r="A34" s="107"/>
      <c r="B34" s="107"/>
      <c r="C34" s="2" t="s">
        <v>16</v>
      </c>
      <c r="D34" s="48">
        <v>1252.8</v>
      </c>
      <c r="E34" s="33">
        <f>E224</f>
        <v>636.03</v>
      </c>
      <c r="F34" s="68">
        <f t="shared" ref="F34:F43" si="0">E34/D34*100</f>
        <v>50.768678160919542</v>
      </c>
      <c r="G34" s="99"/>
      <c r="H34" s="73" t="s">
        <v>20</v>
      </c>
      <c r="I34" s="42">
        <f>COUNTIF(I222,"частично")</f>
        <v>0</v>
      </c>
      <c r="J34" s="96"/>
      <c r="K34" s="92"/>
    </row>
    <row r="35" spans="1:11" x14ac:dyDescent="0.25">
      <c r="A35" s="107"/>
      <c r="B35" s="107"/>
      <c r="C35" s="2" t="s">
        <v>15</v>
      </c>
      <c r="D35" s="48">
        <v>0</v>
      </c>
      <c r="E35" s="33">
        <v>0</v>
      </c>
      <c r="F35" s="68"/>
      <c r="G35" s="99"/>
      <c r="H35" s="73" t="s">
        <v>21</v>
      </c>
      <c r="I35" s="42">
        <f>COUNTIF(I222,"нет")</f>
        <v>0</v>
      </c>
      <c r="J35" s="96"/>
      <c r="K35" s="92"/>
    </row>
    <row r="36" spans="1:11" x14ac:dyDescent="0.25">
      <c r="A36" s="107"/>
      <c r="B36" s="107"/>
      <c r="C36" s="2" t="s">
        <v>17</v>
      </c>
      <c r="D36" s="48">
        <v>0</v>
      </c>
      <c r="E36" s="33">
        <v>0</v>
      </c>
      <c r="F36" s="68"/>
      <c r="G36" s="100"/>
      <c r="H36" s="73" t="s">
        <v>22</v>
      </c>
      <c r="I36" s="79">
        <f>I33/I32*100</f>
        <v>100</v>
      </c>
      <c r="J36" s="97"/>
      <c r="K36" s="93"/>
    </row>
    <row r="37" spans="1:11" x14ac:dyDescent="0.25">
      <c r="A37" s="104"/>
      <c r="B37" s="107" t="s">
        <v>93</v>
      </c>
      <c r="C37" s="2" t="s">
        <v>13</v>
      </c>
      <c r="D37" s="48">
        <v>3470.9</v>
      </c>
      <c r="E37" s="41">
        <f>E38+E39+E40+E41</f>
        <v>3095.67</v>
      </c>
      <c r="F37" s="68">
        <f t="shared" si="0"/>
        <v>89.189259269929991</v>
      </c>
      <c r="G37" s="98"/>
      <c r="H37" s="73" t="s">
        <v>18</v>
      </c>
      <c r="I37" s="42">
        <f>COUNTA(I202:I206,I212:I216)</f>
        <v>2</v>
      </c>
      <c r="J37" s="95" t="s">
        <v>23</v>
      </c>
      <c r="K37" s="91" t="s">
        <v>23</v>
      </c>
    </row>
    <row r="38" spans="1:11" x14ac:dyDescent="0.25">
      <c r="A38" s="105"/>
      <c r="B38" s="107"/>
      <c r="C38" s="2" t="s">
        <v>14</v>
      </c>
      <c r="D38" s="48">
        <v>8.6</v>
      </c>
      <c r="E38" s="33">
        <f>E198</f>
        <v>6.04</v>
      </c>
      <c r="F38" s="68">
        <f t="shared" si="0"/>
        <v>70.232558139534888</v>
      </c>
      <c r="G38" s="99"/>
      <c r="H38" s="73" t="s">
        <v>19</v>
      </c>
      <c r="I38" s="42">
        <f>COUNTIF(I62:I76,"да")</f>
        <v>3</v>
      </c>
      <c r="J38" s="96"/>
      <c r="K38" s="92"/>
    </row>
    <row r="39" spans="1:11" x14ac:dyDescent="0.25">
      <c r="A39" s="105"/>
      <c r="B39" s="107"/>
      <c r="C39" s="2" t="s">
        <v>16</v>
      </c>
      <c r="D39" s="48">
        <v>3462.3</v>
      </c>
      <c r="E39" s="33">
        <f>E209</f>
        <v>3089.63</v>
      </c>
      <c r="F39" s="68">
        <f t="shared" si="0"/>
        <v>89.236345781705808</v>
      </c>
      <c r="G39" s="99"/>
      <c r="H39" s="73" t="s">
        <v>20</v>
      </c>
      <c r="I39" s="42">
        <f>COUNTIF(I202:I206,"частично")+COUNTIF(I212:I216,"частично")</f>
        <v>0</v>
      </c>
      <c r="J39" s="96"/>
      <c r="K39" s="92"/>
    </row>
    <row r="40" spans="1:11" x14ac:dyDescent="0.25">
      <c r="A40" s="105"/>
      <c r="B40" s="107"/>
      <c r="C40" s="2" t="s">
        <v>15</v>
      </c>
      <c r="D40" s="48">
        <v>0</v>
      </c>
      <c r="E40" s="33">
        <v>0</v>
      </c>
      <c r="F40" s="68"/>
      <c r="G40" s="99"/>
      <c r="H40" s="73" t="s">
        <v>21</v>
      </c>
      <c r="I40" s="42">
        <f>COUNTIF(I62:I76,"нет")</f>
        <v>0</v>
      </c>
      <c r="J40" s="96"/>
      <c r="K40" s="92"/>
    </row>
    <row r="41" spans="1:11" x14ac:dyDescent="0.25">
      <c r="A41" s="106"/>
      <c r="B41" s="107"/>
      <c r="C41" s="2" t="s">
        <v>17</v>
      </c>
      <c r="D41" s="48">
        <v>0</v>
      </c>
      <c r="E41" s="33">
        <v>0</v>
      </c>
      <c r="F41" s="68"/>
      <c r="G41" s="100"/>
      <c r="H41" s="73" t="s">
        <v>22</v>
      </c>
      <c r="I41" s="79">
        <f>I38/I37*100</f>
        <v>150</v>
      </c>
      <c r="J41" s="97"/>
      <c r="K41" s="93"/>
    </row>
    <row r="42" spans="1:11" x14ac:dyDescent="0.25">
      <c r="A42" s="104"/>
      <c r="B42" s="107" t="s">
        <v>94</v>
      </c>
      <c r="C42" s="2" t="s">
        <v>13</v>
      </c>
      <c r="D42" s="48">
        <v>0</v>
      </c>
      <c r="E42" s="33">
        <f>E43+E44+E45+E46</f>
        <v>0</v>
      </c>
      <c r="F42" s="68" t="e">
        <f t="shared" si="0"/>
        <v>#DIV/0!</v>
      </c>
      <c r="G42" s="98"/>
      <c r="H42" s="73" t="s">
        <v>18</v>
      </c>
      <c r="I42" s="42">
        <f>COUNTA(I242)</f>
        <v>0</v>
      </c>
      <c r="J42" s="95" t="s">
        <v>23</v>
      </c>
      <c r="K42" s="91" t="s">
        <v>23</v>
      </c>
    </row>
    <row r="43" spans="1:11" x14ac:dyDescent="0.25">
      <c r="A43" s="105"/>
      <c r="B43" s="107"/>
      <c r="C43" s="2" t="s">
        <v>14</v>
      </c>
      <c r="D43" s="48">
        <v>0</v>
      </c>
      <c r="E43" s="33">
        <v>0</v>
      </c>
      <c r="F43" s="68" t="e">
        <f t="shared" si="0"/>
        <v>#DIV/0!</v>
      </c>
      <c r="G43" s="99"/>
      <c r="H43" s="73" t="s">
        <v>19</v>
      </c>
      <c r="I43" s="42">
        <f>COUNTIF(I242,"да")</f>
        <v>0</v>
      </c>
      <c r="J43" s="96"/>
      <c r="K43" s="92"/>
    </row>
    <row r="44" spans="1:11" x14ac:dyDescent="0.25">
      <c r="A44" s="105"/>
      <c r="B44" s="107"/>
      <c r="C44" s="2" t="s">
        <v>16</v>
      </c>
      <c r="D44" s="48">
        <v>0</v>
      </c>
      <c r="E44" s="33">
        <v>0</v>
      </c>
      <c r="F44" s="68"/>
      <c r="G44" s="99"/>
      <c r="H44" s="73" t="s">
        <v>20</v>
      </c>
      <c r="I44" s="42">
        <f>COUNTIF(I242,"частично")</f>
        <v>0</v>
      </c>
      <c r="J44" s="96"/>
      <c r="K44" s="92"/>
    </row>
    <row r="45" spans="1:11" x14ac:dyDescent="0.25">
      <c r="A45" s="105"/>
      <c r="B45" s="107"/>
      <c r="C45" s="2" t="s">
        <v>15</v>
      </c>
      <c r="D45" s="48">
        <v>0</v>
      </c>
      <c r="E45" s="33">
        <v>0</v>
      </c>
      <c r="F45" s="68"/>
      <c r="G45" s="99"/>
      <c r="H45" s="73" t="s">
        <v>21</v>
      </c>
      <c r="I45" s="42">
        <f>COUNTIF(I242,"нет")</f>
        <v>0</v>
      </c>
      <c r="J45" s="96"/>
      <c r="K45" s="92"/>
    </row>
    <row r="46" spans="1:11" ht="14.45" customHeight="1" x14ac:dyDescent="0.25">
      <c r="A46" s="106"/>
      <c r="B46" s="107"/>
      <c r="C46" s="2" t="s">
        <v>17</v>
      </c>
      <c r="D46" s="48">
        <v>0</v>
      </c>
      <c r="E46" s="33">
        <v>0</v>
      </c>
      <c r="F46" s="68"/>
      <c r="G46" s="100"/>
      <c r="H46" s="73" t="s">
        <v>22</v>
      </c>
      <c r="I46" s="79" t="e">
        <f>I43/I42*100</f>
        <v>#DIV/0!</v>
      </c>
      <c r="J46" s="97"/>
      <c r="K46" s="93"/>
    </row>
    <row r="47" spans="1:11" x14ac:dyDescent="0.25">
      <c r="A47" s="94" t="s">
        <v>25</v>
      </c>
      <c r="B47" s="94" t="s">
        <v>177</v>
      </c>
      <c r="C47" s="10" t="s">
        <v>13</v>
      </c>
      <c r="D47" s="57">
        <f>SUM(D48:D50)</f>
        <v>811114.1</v>
      </c>
      <c r="E47" s="39">
        <f>E48+E49+E50+E51</f>
        <v>823438.54999999981</v>
      </c>
      <c r="F47" s="67">
        <f>E47/D47*100</f>
        <v>101.51944714066737</v>
      </c>
      <c r="G47" s="91"/>
      <c r="H47" s="77" t="s">
        <v>18</v>
      </c>
      <c r="I47" s="43">
        <f>I52+I77</f>
        <v>8</v>
      </c>
      <c r="J47" s="95" t="s">
        <v>149</v>
      </c>
      <c r="K47" s="91"/>
    </row>
    <row r="48" spans="1:11" x14ac:dyDescent="0.25">
      <c r="A48" s="94"/>
      <c r="B48" s="94"/>
      <c r="C48" s="10" t="s">
        <v>14</v>
      </c>
      <c r="D48" s="51">
        <f>D53+D78</f>
        <v>4.2</v>
      </c>
      <c r="E48" s="39">
        <f>E53+E78</f>
        <v>4.2</v>
      </c>
      <c r="F48" s="67">
        <f>E48/D48*100</f>
        <v>100</v>
      </c>
      <c r="G48" s="92"/>
      <c r="H48" s="77" t="s">
        <v>19</v>
      </c>
      <c r="I48" s="43">
        <f>I53+I78</f>
        <v>8</v>
      </c>
      <c r="J48" s="96"/>
      <c r="K48" s="92"/>
    </row>
    <row r="49" spans="1:11" x14ac:dyDescent="0.25">
      <c r="A49" s="94"/>
      <c r="B49" s="94"/>
      <c r="C49" s="10" t="s">
        <v>16</v>
      </c>
      <c r="D49" s="47">
        <f>D54+D79</f>
        <v>811109.9</v>
      </c>
      <c r="E49" s="39">
        <f t="shared" ref="E49:E51" si="1">E54+E79</f>
        <v>823434.34999999986</v>
      </c>
      <c r="F49" s="67">
        <f>E49/D49*100</f>
        <v>101.5194550085013</v>
      </c>
      <c r="G49" s="92"/>
      <c r="H49" s="77" t="s">
        <v>20</v>
      </c>
      <c r="I49" s="43">
        <f>I54+I79</f>
        <v>0</v>
      </c>
      <c r="J49" s="96"/>
      <c r="K49" s="92"/>
    </row>
    <row r="50" spans="1:11" x14ac:dyDescent="0.25">
      <c r="A50" s="94"/>
      <c r="B50" s="94"/>
      <c r="C50" s="10" t="s">
        <v>15</v>
      </c>
      <c r="D50" s="48">
        <f t="shared" ref="D50" si="2">D55+D80</f>
        <v>0</v>
      </c>
      <c r="E50" s="39">
        <f t="shared" si="1"/>
        <v>0</v>
      </c>
      <c r="F50" s="67"/>
      <c r="G50" s="92"/>
      <c r="H50" s="77" t="s">
        <v>21</v>
      </c>
      <c r="I50" s="43">
        <f>I55+I80</f>
        <v>0</v>
      </c>
      <c r="J50" s="96"/>
      <c r="K50" s="92"/>
    </row>
    <row r="51" spans="1:11" ht="29.45" customHeight="1" x14ac:dyDescent="0.25">
      <c r="A51" s="94"/>
      <c r="B51" s="94"/>
      <c r="C51" s="10" t="s">
        <v>17</v>
      </c>
      <c r="D51" s="52">
        <v>0</v>
      </c>
      <c r="E51" s="40">
        <f t="shared" si="1"/>
        <v>0</v>
      </c>
      <c r="F51" s="67"/>
      <c r="G51" s="93"/>
      <c r="H51" s="77" t="s">
        <v>22</v>
      </c>
      <c r="I51" s="78">
        <f>I48/I47*100</f>
        <v>100</v>
      </c>
      <c r="J51" s="97"/>
      <c r="K51" s="93"/>
    </row>
    <row r="52" spans="1:11" x14ac:dyDescent="0.25">
      <c r="A52" s="107" t="s">
        <v>26</v>
      </c>
      <c r="B52" s="107" t="s">
        <v>95</v>
      </c>
      <c r="C52" s="2" t="s">
        <v>13</v>
      </c>
      <c r="D52" s="51">
        <f>SUM(D54:D55)</f>
        <v>304235.3</v>
      </c>
      <c r="E52" s="33">
        <f>E53+E54+E55</f>
        <v>279525.96999999997</v>
      </c>
      <c r="F52" s="68">
        <f>E52/D52*100</f>
        <v>91.878217287737471</v>
      </c>
      <c r="G52" s="112"/>
      <c r="H52" s="73" t="s">
        <v>18</v>
      </c>
      <c r="I52" s="42">
        <f>COUNTA(I62:I76)</f>
        <v>3</v>
      </c>
      <c r="J52" s="98" t="s">
        <v>89</v>
      </c>
      <c r="K52" s="114" t="s">
        <v>245</v>
      </c>
    </row>
    <row r="53" spans="1:11" x14ac:dyDescent="0.25">
      <c r="A53" s="107"/>
      <c r="B53" s="107"/>
      <c r="C53" s="2" t="s">
        <v>14</v>
      </c>
      <c r="D53" s="48">
        <f t="shared" ref="D53" si="3">D58</f>
        <v>0</v>
      </c>
      <c r="E53" s="33">
        <f>E63+E68+E73</f>
        <v>0</v>
      </c>
      <c r="F53" s="68"/>
      <c r="G53" s="99"/>
      <c r="H53" s="73" t="s">
        <v>19</v>
      </c>
      <c r="I53" s="42">
        <f>COUNTIF(I62:I76,"да")</f>
        <v>3</v>
      </c>
      <c r="J53" s="99"/>
      <c r="K53" s="127"/>
    </row>
    <row r="54" spans="1:11" x14ac:dyDescent="0.25">
      <c r="A54" s="107"/>
      <c r="B54" s="107"/>
      <c r="C54" s="2" t="s">
        <v>16</v>
      </c>
      <c r="D54" s="51">
        <f>D59</f>
        <v>304235.3</v>
      </c>
      <c r="E54" s="33">
        <f t="shared" ref="E54:E56" si="4">E64+E69+E74</f>
        <v>279525.96999999997</v>
      </c>
      <c r="F54" s="68">
        <f>E54/D54*100</f>
        <v>91.878217287737471</v>
      </c>
      <c r="G54" s="99"/>
      <c r="H54" s="73" t="s">
        <v>20</v>
      </c>
      <c r="I54" s="42">
        <f>COUNTIF(I62:I76,"частично")</f>
        <v>0</v>
      </c>
      <c r="J54" s="99"/>
      <c r="K54" s="127"/>
    </row>
    <row r="55" spans="1:11" x14ac:dyDescent="0.25">
      <c r="A55" s="107"/>
      <c r="B55" s="107"/>
      <c r="C55" s="2" t="s">
        <v>15</v>
      </c>
      <c r="D55" s="48">
        <v>0</v>
      </c>
      <c r="E55" s="33">
        <f t="shared" si="4"/>
        <v>0</v>
      </c>
      <c r="F55" s="68"/>
      <c r="G55" s="99"/>
      <c r="H55" s="73" t="s">
        <v>21</v>
      </c>
      <c r="I55" s="42">
        <f>COUNTIF(I62:I76,"нет")</f>
        <v>0</v>
      </c>
      <c r="J55" s="99"/>
      <c r="K55" s="127"/>
    </row>
    <row r="56" spans="1:11" ht="30.75" customHeight="1" x14ac:dyDescent="0.25">
      <c r="A56" s="107"/>
      <c r="B56" s="107"/>
      <c r="C56" s="2" t="s">
        <v>17</v>
      </c>
      <c r="D56" s="52">
        <v>0</v>
      </c>
      <c r="E56" s="33">
        <f t="shared" si="4"/>
        <v>0</v>
      </c>
      <c r="F56" s="68"/>
      <c r="G56" s="100"/>
      <c r="H56" s="73" t="s">
        <v>22</v>
      </c>
      <c r="I56" s="79">
        <f>I53/I52*100</f>
        <v>100</v>
      </c>
      <c r="J56" s="100"/>
      <c r="K56" s="127"/>
    </row>
    <row r="57" spans="1:11" ht="19.149999999999999" customHeight="1" x14ac:dyDescent="0.25">
      <c r="A57" s="113" t="s">
        <v>27</v>
      </c>
      <c r="B57" s="113" t="s">
        <v>99</v>
      </c>
      <c r="C57" s="17" t="s">
        <v>13</v>
      </c>
      <c r="D57" s="48">
        <f>SUM(D58:D60)</f>
        <v>304235.3</v>
      </c>
      <c r="E57" s="36">
        <f>E58+E59</f>
        <v>279525.96999999997</v>
      </c>
      <c r="F57" s="69">
        <f>E57/D57*100</f>
        <v>91.878217287737471</v>
      </c>
      <c r="G57" s="114" t="s">
        <v>265</v>
      </c>
      <c r="H57" s="114" t="s">
        <v>242</v>
      </c>
      <c r="I57" s="120" t="s">
        <v>217</v>
      </c>
      <c r="J57" s="114" t="s">
        <v>89</v>
      </c>
      <c r="K57" s="127"/>
    </row>
    <row r="58" spans="1:11" x14ac:dyDescent="0.25">
      <c r="A58" s="113"/>
      <c r="B58" s="113"/>
      <c r="C58" s="17" t="s">
        <v>14</v>
      </c>
      <c r="D58" s="48">
        <f t="shared" ref="D58:D60" si="5">D63+D68+D73</f>
        <v>0</v>
      </c>
      <c r="E58" s="36">
        <f>E63+E68+E73</f>
        <v>0</v>
      </c>
      <c r="F58" s="69"/>
      <c r="G58" s="115"/>
      <c r="H58" s="115"/>
      <c r="I58" s="121"/>
      <c r="J58" s="115"/>
      <c r="K58" s="127"/>
    </row>
    <row r="59" spans="1:11" x14ac:dyDescent="0.25">
      <c r="A59" s="113"/>
      <c r="B59" s="113"/>
      <c r="C59" s="17" t="s">
        <v>16</v>
      </c>
      <c r="D59" s="48">
        <f>D64+D69+D74</f>
        <v>304235.3</v>
      </c>
      <c r="E59" s="36">
        <f t="shared" ref="E59:E61" si="6">E64+E69+E74</f>
        <v>279525.96999999997</v>
      </c>
      <c r="F59" s="69">
        <f>E59/D59*100</f>
        <v>91.878217287737471</v>
      </c>
      <c r="G59" s="115"/>
      <c r="H59" s="115"/>
      <c r="I59" s="121"/>
      <c r="J59" s="115"/>
      <c r="K59" s="127"/>
    </row>
    <row r="60" spans="1:11" x14ac:dyDescent="0.25">
      <c r="A60" s="113"/>
      <c r="B60" s="113"/>
      <c r="C60" s="17" t="s">
        <v>15</v>
      </c>
      <c r="D60" s="48">
        <f t="shared" si="5"/>
        <v>0</v>
      </c>
      <c r="E60" s="36">
        <f t="shared" si="6"/>
        <v>0</v>
      </c>
      <c r="F60" s="69"/>
      <c r="G60" s="115"/>
      <c r="H60" s="115"/>
      <c r="I60" s="121"/>
      <c r="J60" s="115"/>
      <c r="K60" s="127"/>
    </row>
    <row r="61" spans="1:11" ht="69.75" customHeight="1" x14ac:dyDescent="0.25">
      <c r="A61" s="113"/>
      <c r="B61" s="113"/>
      <c r="C61" s="17" t="s">
        <v>17</v>
      </c>
      <c r="D61" s="53"/>
      <c r="E61" s="37">
        <f t="shared" si="6"/>
        <v>0</v>
      </c>
      <c r="F61" s="69"/>
      <c r="G61" s="116"/>
      <c r="H61" s="116"/>
      <c r="I61" s="122"/>
      <c r="J61" s="116"/>
      <c r="K61" s="127"/>
    </row>
    <row r="62" spans="1:11" s="18" customFormat="1" ht="15" customHeight="1" x14ac:dyDescent="0.25">
      <c r="A62" s="113" t="s">
        <v>96</v>
      </c>
      <c r="B62" s="113" t="s">
        <v>100</v>
      </c>
      <c r="C62" s="17" t="s">
        <v>13</v>
      </c>
      <c r="D62" s="48">
        <f t="shared" ref="D62:E62" si="7">D63+D64+D65+D66</f>
        <v>114292</v>
      </c>
      <c r="E62" s="34">
        <f t="shared" si="7"/>
        <v>107640.2</v>
      </c>
      <c r="F62" s="69">
        <f>E62/D62*100</f>
        <v>94.17999510026948</v>
      </c>
      <c r="G62" s="114" t="s">
        <v>264</v>
      </c>
      <c r="H62" s="117" t="s">
        <v>243</v>
      </c>
      <c r="I62" s="120" t="s">
        <v>217</v>
      </c>
      <c r="J62" s="114" t="s">
        <v>89</v>
      </c>
      <c r="K62" s="127"/>
    </row>
    <row r="63" spans="1:11" s="18" customFormat="1" x14ac:dyDescent="0.25">
      <c r="A63" s="113"/>
      <c r="B63" s="113"/>
      <c r="C63" s="17" t="s">
        <v>14</v>
      </c>
      <c r="D63" s="48">
        <v>0</v>
      </c>
      <c r="E63" s="34"/>
      <c r="F63" s="69"/>
      <c r="G63" s="115"/>
      <c r="H63" s="118"/>
      <c r="I63" s="121"/>
      <c r="J63" s="115"/>
      <c r="K63" s="127"/>
    </row>
    <row r="64" spans="1:11" s="18" customFormat="1" x14ac:dyDescent="0.25">
      <c r="A64" s="113"/>
      <c r="B64" s="113"/>
      <c r="C64" s="17" t="s">
        <v>16</v>
      </c>
      <c r="D64" s="48">
        <v>114292</v>
      </c>
      <c r="E64" s="34">
        <f>105101.5+2538.7</f>
        <v>107640.2</v>
      </c>
      <c r="F64" s="69">
        <f>E64/D64*100</f>
        <v>94.17999510026948</v>
      </c>
      <c r="G64" s="115"/>
      <c r="H64" s="118"/>
      <c r="I64" s="121"/>
      <c r="J64" s="115"/>
      <c r="K64" s="127"/>
    </row>
    <row r="65" spans="1:11" s="18" customFormat="1" x14ac:dyDescent="0.25">
      <c r="A65" s="113"/>
      <c r="B65" s="113"/>
      <c r="C65" s="17" t="s">
        <v>15</v>
      </c>
      <c r="D65" s="48">
        <v>0</v>
      </c>
      <c r="E65" s="34">
        <v>0</v>
      </c>
      <c r="F65" s="69"/>
      <c r="G65" s="115"/>
      <c r="H65" s="118"/>
      <c r="I65" s="121"/>
      <c r="J65" s="115"/>
      <c r="K65" s="127"/>
    </row>
    <row r="66" spans="1:11" s="18" customFormat="1" ht="56.25" customHeight="1" x14ac:dyDescent="0.25">
      <c r="A66" s="113"/>
      <c r="B66" s="113"/>
      <c r="C66" s="17" t="s">
        <v>17</v>
      </c>
      <c r="D66" s="54">
        <v>0</v>
      </c>
      <c r="E66" s="34">
        <v>0</v>
      </c>
      <c r="F66" s="69"/>
      <c r="G66" s="116"/>
      <c r="H66" s="119"/>
      <c r="I66" s="122"/>
      <c r="J66" s="116"/>
      <c r="K66" s="127"/>
    </row>
    <row r="67" spans="1:11" s="18" customFormat="1" ht="14.45" customHeight="1" x14ac:dyDescent="0.25">
      <c r="A67" s="120" t="s">
        <v>97</v>
      </c>
      <c r="B67" s="113" t="s">
        <v>101</v>
      </c>
      <c r="C67" s="17" t="s">
        <v>13</v>
      </c>
      <c r="D67" s="48">
        <f t="shared" ref="D67:E67" si="8">D68+D69+D70+D71</f>
        <v>86747.3</v>
      </c>
      <c r="E67" s="72">
        <f t="shared" si="8"/>
        <v>81660.27</v>
      </c>
      <c r="F67" s="69">
        <f>E67/D67*100</f>
        <v>94.135805955920247</v>
      </c>
      <c r="G67" s="114" t="s">
        <v>266</v>
      </c>
      <c r="H67" s="114" t="s">
        <v>244</v>
      </c>
      <c r="I67" s="120" t="s">
        <v>217</v>
      </c>
      <c r="J67" s="114" t="s">
        <v>89</v>
      </c>
      <c r="K67" s="127"/>
    </row>
    <row r="68" spans="1:11" s="18" customFormat="1" x14ac:dyDescent="0.25">
      <c r="A68" s="121"/>
      <c r="B68" s="113"/>
      <c r="C68" s="17" t="s">
        <v>14</v>
      </c>
      <c r="D68" s="48">
        <v>0</v>
      </c>
      <c r="E68" s="34">
        <v>0</v>
      </c>
      <c r="F68" s="69"/>
      <c r="G68" s="115"/>
      <c r="H68" s="115"/>
      <c r="I68" s="121"/>
      <c r="J68" s="115"/>
      <c r="K68" s="127"/>
    </row>
    <row r="69" spans="1:11" s="18" customFormat="1" x14ac:dyDescent="0.25">
      <c r="A69" s="121"/>
      <c r="B69" s="113"/>
      <c r="C69" s="17" t="s">
        <v>16</v>
      </c>
      <c r="D69" s="48">
        <v>86747.3</v>
      </c>
      <c r="E69" s="72">
        <v>81660.27</v>
      </c>
      <c r="F69" s="69">
        <f>E69/D69*100</f>
        <v>94.135805955920247</v>
      </c>
      <c r="G69" s="115"/>
      <c r="H69" s="115"/>
      <c r="I69" s="121"/>
      <c r="J69" s="115"/>
      <c r="K69" s="127"/>
    </row>
    <row r="70" spans="1:11" s="18" customFormat="1" x14ac:dyDescent="0.25">
      <c r="A70" s="121"/>
      <c r="B70" s="113"/>
      <c r="C70" s="17" t="s">
        <v>15</v>
      </c>
      <c r="D70" s="48">
        <v>0</v>
      </c>
      <c r="E70" s="34">
        <v>0</v>
      </c>
      <c r="F70" s="69"/>
      <c r="G70" s="115"/>
      <c r="H70" s="115"/>
      <c r="I70" s="121"/>
      <c r="J70" s="115"/>
      <c r="K70" s="127"/>
    </row>
    <row r="71" spans="1:11" s="18" customFormat="1" ht="119.45" customHeight="1" x14ac:dyDescent="0.25">
      <c r="A71" s="122"/>
      <c r="B71" s="113"/>
      <c r="C71" s="17" t="s">
        <v>17</v>
      </c>
      <c r="D71" s="55">
        <v>0</v>
      </c>
      <c r="E71" s="34">
        <v>0</v>
      </c>
      <c r="F71" s="69"/>
      <c r="G71" s="115"/>
      <c r="H71" s="115"/>
      <c r="I71" s="122"/>
      <c r="J71" s="116"/>
      <c r="K71" s="127"/>
    </row>
    <row r="72" spans="1:11" s="18" customFormat="1" ht="15" customHeight="1" x14ac:dyDescent="0.25">
      <c r="A72" s="120" t="s">
        <v>98</v>
      </c>
      <c r="B72" s="120" t="s">
        <v>102</v>
      </c>
      <c r="C72" s="17" t="s">
        <v>13</v>
      </c>
      <c r="D72" s="48">
        <f t="shared" ref="D72:E72" si="9">D73+D74+D75+D76</f>
        <v>103196</v>
      </c>
      <c r="E72" s="72">
        <f t="shared" si="9"/>
        <v>90225.5</v>
      </c>
      <c r="F72" s="69">
        <f>E72/D72*100</f>
        <v>87.431198883677666</v>
      </c>
      <c r="G72" s="127"/>
      <c r="H72" s="127"/>
      <c r="I72" s="120" t="s">
        <v>217</v>
      </c>
      <c r="J72" s="114" t="s">
        <v>89</v>
      </c>
      <c r="K72" s="127"/>
    </row>
    <row r="73" spans="1:11" s="18" customFormat="1" x14ac:dyDescent="0.25">
      <c r="A73" s="121"/>
      <c r="B73" s="121"/>
      <c r="C73" s="17" t="s">
        <v>14</v>
      </c>
      <c r="D73" s="48">
        <v>0</v>
      </c>
      <c r="E73" s="34"/>
      <c r="F73" s="69"/>
      <c r="G73" s="127"/>
      <c r="H73" s="127"/>
      <c r="I73" s="121"/>
      <c r="J73" s="115"/>
      <c r="K73" s="127"/>
    </row>
    <row r="74" spans="1:11" s="18" customFormat="1" x14ac:dyDescent="0.25">
      <c r="A74" s="121"/>
      <c r="B74" s="121"/>
      <c r="C74" s="17" t="s">
        <v>16</v>
      </c>
      <c r="D74" s="48">
        <v>103196</v>
      </c>
      <c r="E74" s="72">
        <v>90225.5</v>
      </c>
      <c r="F74" s="69">
        <f>E74/D74*100</f>
        <v>87.431198883677666</v>
      </c>
      <c r="G74" s="127"/>
      <c r="H74" s="127"/>
      <c r="I74" s="121"/>
      <c r="J74" s="115"/>
      <c r="K74" s="127"/>
    </row>
    <row r="75" spans="1:11" s="18" customFormat="1" x14ac:dyDescent="0.25">
      <c r="A75" s="121"/>
      <c r="B75" s="121"/>
      <c r="C75" s="17" t="s">
        <v>15</v>
      </c>
      <c r="D75" s="48">
        <v>0</v>
      </c>
      <c r="E75" s="34">
        <v>0</v>
      </c>
      <c r="F75" s="69"/>
      <c r="G75" s="127"/>
      <c r="H75" s="127"/>
      <c r="I75" s="121"/>
      <c r="J75" s="115"/>
      <c r="K75" s="127"/>
    </row>
    <row r="76" spans="1:11" s="18" customFormat="1" ht="86.45" customHeight="1" x14ac:dyDescent="0.25">
      <c r="A76" s="122"/>
      <c r="B76" s="122"/>
      <c r="C76" s="17" t="s">
        <v>17</v>
      </c>
      <c r="D76" s="48">
        <v>0</v>
      </c>
      <c r="E76" s="34">
        <v>0</v>
      </c>
      <c r="F76" s="69"/>
      <c r="G76" s="128"/>
      <c r="H76" s="128"/>
      <c r="I76" s="122"/>
      <c r="J76" s="116"/>
      <c r="K76" s="128"/>
    </row>
    <row r="77" spans="1:11" s="18" customFormat="1" ht="13.9" customHeight="1" x14ac:dyDescent="0.25">
      <c r="A77" s="107" t="s">
        <v>52</v>
      </c>
      <c r="B77" s="107" t="s">
        <v>108</v>
      </c>
      <c r="C77" s="2" t="s">
        <v>13</v>
      </c>
      <c r="D77" s="51">
        <f t="shared" ref="D77" si="10">SUM(D78:D81)</f>
        <v>506878.80000000005</v>
      </c>
      <c r="E77" s="33">
        <f>E78+E79+E80</f>
        <v>543912.57999999984</v>
      </c>
      <c r="F77" s="68">
        <f>E77/D77*100</f>
        <v>107.30623967701941</v>
      </c>
      <c r="G77" s="98"/>
      <c r="H77" s="73" t="s">
        <v>18</v>
      </c>
      <c r="I77" s="42">
        <f>COUNTA(I82:I106)</f>
        <v>5</v>
      </c>
      <c r="J77" s="98" t="s">
        <v>149</v>
      </c>
      <c r="K77" s="98"/>
    </row>
    <row r="78" spans="1:11" s="18" customFormat="1" x14ac:dyDescent="0.25">
      <c r="A78" s="107"/>
      <c r="B78" s="107"/>
      <c r="C78" s="2" t="s">
        <v>14</v>
      </c>
      <c r="D78" s="51">
        <f t="shared" ref="D78" si="11">D83+D88+D93+D98+D103</f>
        <v>4.2</v>
      </c>
      <c r="E78" s="33">
        <f>E83+E88+E93+E98+E103</f>
        <v>4.2</v>
      </c>
      <c r="F78" s="68">
        <f>E78/D78*100</f>
        <v>100</v>
      </c>
      <c r="G78" s="99"/>
      <c r="H78" s="73" t="s">
        <v>19</v>
      </c>
      <c r="I78" s="42">
        <f>COUNTIF(I82:I106,"да")</f>
        <v>5</v>
      </c>
      <c r="J78" s="99"/>
      <c r="K78" s="99"/>
    </row>
    <row r="79" spans="1:11" s="18" customFormat="1" x14ac:dyDescent="0.25">
      <c r="A79" s="107"/>
      <c r="B79" s="107"/>
      <c r="C79" s="2" t="s">
        <v>16</v>
      </c>
      <c r="D79" s="51">
        <f>D84+D89+D94+D99+D104+D109</f>
        <v>506874.60000000003</v>
      </c>
      <c r="E79" s="33">
        <f>E84+E89+E94+E99+E104+E109</f>
        <v>543908.37999999989</v>
      </c>
      <c r="F79" s="68">
        <f>E79/D79*100</f>
        <v>107.30630021705562</v>
      </c>
      <c r="G79" s="99"/>
      <c r="H79" s="73" t="s">
        <v>20</v>
      </c>
      <c r="I79" s="42">
        <f>COUNTIF(I82:I106,"частично")</f>
        <v>0</v>
      </c>
      <c r="J79" s="99"/>
      <c r="K79" s="99"/>
    </row>
    <row r="80" spans="1:11" s="18" customFormat="1" x14ac:dyDescent="0.25">
      <c r="A80" s="107"/>
      <c r="B80" s="107"/>
      <c r="C80" s="2" t="s">
        <v>15</v>
      </c>
      <c r="D80" s="48">
        <v>0</v>
      </c>
      <c r="E80" s="33">
        <f t="shared" ref="E80:E81" si="12">E85+E90+E95+E100+E105</f>
        <v>0</v>
      </c>
      <c r="F80" s="68"/>
      <c r="G80" s="99"/>
      <c r="H80" s="73" t="s">
        <v>21</v>
      </c>
      <c r="I80" s="42">
        <f>COUNTIF(I82:I106,"нет")</f>
        <v>0</v>
      </c>
      <c r="J80" s="99"/>
      <c r="K80" s="99"/>
    </row>
    <row r="81" spans="1:11" s="18" customFormat="1" ht="64.150000000000006" customHeight="1" x14ac:dyDescent="0.25">
      <c r="A81" s="107"/>
      <c r="B81" s="107"/>
      <c r="C81" s="2" t="s">
        <v>17</v>
      </c>
      <c r="D81" s="52">
        <v>0</v>
      </c>
      <c r="E81" s="38">
        <f t="shared" si="12"/>
        <v>0</v>
      </c>
      <c r="F81" s="68"/>
      <c r="G81" s="100"/>
      <c r="H81" s="73" t="s">
        <v>22</v>
      </c>
      <c r="I81" s="79">
        <f>I78/I77*100</f>
        <v>100</v>
      </c>
      <c r="J81" s="100"/>
      <c r="K81" s="100"/>
    </row>
    <row r="82" spans="1:11" s="18" customFormat="1" ht="15" customHeight="1" x14ac:dyDescent="0.25">
      <c r="A82" s="120" t="s">
        <v>103</v>
      </c>
      <c r="B82" s="120" t="s">
        <v>109</v>
      </c>
      <c r="C82" s="17" t="s">
        <v>13</v>
      </c>
      <c r="D82" s="48">
        <f t="shared" ref="D82:E82" si="13">D83+D84+D85+D86</f>
        <v>2468.9</v>
      </c>
      <c r="E82" s="34">
        <f t="shared" si="13"/>
        <v>2444.8000000000002</v>
      </c>
      <c r="F82" s="69">
        <f>E82/D82*100</f>
        <v>99.02385677832234</v>
      </c>
      <c r="G82" s="123" t="s">
        <v>267</v>
      </c>
      <c r="H82" s="123" t="s">
        <v>246</v>
      </c>
      <c r="I82" s="120" t="s">
        <v>217</v>
      </c>
      <c r="J82" s="114" t="s">
        <v>89</v>
      </c>
      <c r="K82" s="114"/>
    </row>
    <row r="83" spans="1:11" s="18" customFormat="1" x14ac:dyDescent="0.25">
      <c r="A83" s="121"/>
      <c r="B83" s="121"/>
      <c r="C83" s="17" t="s">
        <v>14</v>
      </c>
      <c r="D83" s="48">
        <v>0</v>
      </c>
      <c r="E83" s="34"/>
      <c r="F83" s="69"/>
      <c r="G83" s="124"/>
      <c r="H83" s="124"/>
      <c r="I83" s="121"/>
      <c r="J83" s="115"/>
      <c r="K83" s="115"/>
    </row>
    <row r="84" spans="1:11" s="18" customFormat="1" x14ac:dyDescent="0.25">
      <c r="A84" s="121"/>
      <c r="B84" s="121"/>
      <c r="C84" s="17" t="s">
        <v>16</v>
      </c>
      <c r="D84" s="48">
        <v>2468.9</v>
      </c>
      <c r="E84" s="34">
        <v>2444.8000000000002</v>
      </c>
      <c r="F84" s="69">
        <f>E84/D84*100</f>
        <v>99.02385677832234</v>
      </c>
      <c r="G84" s="124"/>
      <c r="H84" s="124"/>
      <c r="I84" s="121"/>
      <c r="J84" s="115"/>
      <c r="K84" s="115"/>
    </row>
    <row r="85" spans="1:11" s="18" customFormat="1" x14ac:dyDescent="0.25">
      <c r="A85" s="121"/>
      <c r="B85" s="121"/>
      <c r="C85" s="17" t="s">
        <v>15</v>
      </c>
      <c r="D85" s="48">
        <v>0</v>
      </c>
      <c r="E85" s="34">
        <v>0</v>
      </c>
      <c r="F85" s="69"/>
      <c r="G85" s="124"/>
      <c r="H85" s="124"/>
      <c r="I85" s="121"/>
      <c r="J85" s="115"/>
      <c r="K85" s="115"/>
    </row>
    <row r="86" spans="1:11" s="18" customFormat="1" ht="70.5" customHeight="1" x14ac:dyDescent="0.25">
      <c r="A86" s="122"/>
      <c r="B86" s="122"/>
      <c r="C86" s="17" t="s">
        <v>17</v>
      </c>
      <c r="D86" s="55">
        <v>0</v>
      </c>
      <c r="E86" s="34">
        <v>0</v>
      </c>
      <c r="F86" s="69"/>
      <c r="G86" s="125"/>
      <c r="H86" s="125"/>
      <c r="I86" s="122"/>
      <c r="J86" s="116"/>
      <c r="K86" s="116"/>
    </row>
    <row r="87" spans="1:11" s="18" customFormat="1" ht="15" customHeight="1" x14ac:dyDescent="0.25">
      <c r="A87" s="120" t="s">
        <v>104</v>
      </c>
      <c r="B87" s="120" t="s">
        <v>110</v>
      </c>
      <c r="C87" s="17" t="s">
        <v>13</v>
      </c>
      <c r="D87" s="48">
        <f t="shared" ref="D87:E87" si="14">D88+D89+D90+D91</f>
        <v>16572.099999999999</v>
      </c>
      <c r="E87" s="35">
        <f t="shared" si="14"/>
        <v>15164.2</v>
      </c>
      <c r="F87" s="69">
        <f>E87/D87*100</f>
        <v>91.504395942578199</v>
      </c>
      <c r="G87" s="123" t="s">
        <v>268</v>
      </c>
      <c r="H87" s="123" t="s">
        <v>247</v>
      </c>
      <c r="I87" s="120" t="s">
        <v>217</v>
      </c>
      <c r="J87" s="114" t="s">
        <v>89</v>
      </c>
      <c r="K87" s="114" t="s">
        <v>248</v>
      </c>
    </row>
    <row r="88" spans="1:11" s="18" customFormat="1" x14ac:dyDescent="0.25">
      <c r="A88" s="121"/>
      <c r="B88" s="121"/>
      <c r="C88" s="17" t="s">
        <v>14</v>
      </c>
      <c r="D88" s="48">
        <v>0</v>
      </c>
      <c r="E88" s="35"/>
      <c r="F88" s="69"/>
      <c r="G88" s="124"/>
      <c r="H88" s="124"/>
      <c r="I88" s="121"/>
      <c r="J88" s="115"/>
      <c r="K88" s="115"/>
    </row>
    <row r="89" spans="1:11" s="18" customFormat="1" x14ac:dyDescent="0.25">
      <c r="A89" s="121"/>
      <c r="B89" s="121"/>
      <c r="C89" s="17" t="s">
        <v>16</v>
      </c>
      <c r="D89" s="48">
        <v>16572.099999999999</v>
      </c>
      <c r="E89" s="35">
        <v>15164.2</v>
      </c>
      <c r="F89" s="69">
        <f>E89/D89*100</f>
        <v>91.504395942578199</v>
      </c>
      <c r="G89" s="124"/>
      <c r="H89" s="124"/>
      <c r="I89" s="121"/>
      <c r="J89" s="115"/>
      <c r="K89" s="115"/>
    </row>
    <row r="90" spans="1:11" s="18" customFormat="1" x14ac:dyDescent="0.25">
      <c r="A90" s="121"/>
      <c r="B90" s="121"/>
      <c r="C90" s="17" t="s">
        <v>15</v>
      </c>
      <c r="D90" s="48">
        <v>0</v>
      </c>
      <c r="E90" s="35">
        <f>E95+E100+E110</f>
        <v>0</v>
      </c>
      <c r="F90" s="69"/>
      <c r="G90" s="124"/>
      <c r="H90" s="124"/>
      <c r="I90" s="121"/>
      <c r="J90" s="115"/>
      <c r="K90" s="115"/>
    </row>
    <row r="91" spans="1:11" s="18" customFormat="1" ht="78" customHeight="1" x14ac:dyDescent="0.25">
      <c r="A91" s="122"/>
      <c r="B91" s="122"/>
      <c r="C91" s="17" t="s">
        <v>17</v>
      </c>
      <c r="D91" s="55">
        <v>0</v>
      </c>
      <c r="E91" s="35">
        <f>E96+E101+E111</f>
        <v>0</v>
      </c>
      <c r="F91" s="69"/>
      <c r="G91" s="125"/>
      <c r="H91" s="125"/>
      <c r="I91" s="122"/>
      <c r="J91" s="116"/>
      <c r="K91" s="116"/>
    </row>
    <row r="92" spans="1:11" s="18" customFormat="1" ht="15" customHeight="1" x14ac:dyDescent="0.25">
      <c r="A92" s="126" t="s">
        <v>105</v>
      </c>
      <c r="B92" s="120" t="s">
        <v>111</v>
      </c>
      <c r="C92" s="17" t="s">
        <v>13</v>
      </c>
      <c r="D92" s="51">
        <f t="shared" ref="D92:E92" si="15">D93+D94+D95+D96</f>
        <v>480263.5</v>
      </c>
      <c r="E92" s="34">
        <f t="shared" si="15"/>
        <v>518737.98</v>
      </c>
      <c r="F92" s="69">
        <f>E92/D92*100</f>
        <v>108.01111889618929</v>
      </c>
      <c r="G92" s="123" t="s">
        <v>269</v>
      </c>
      <c r="H92" s="123" t="s">
        <v>249</v>
      </c>
      <c r="I92" s="120" t="s">
        <v>217</v>
      </c>
      <c r="J92" s="114" t="s">
        <v>90</v>
      </c>
      <c r="K92" s="114" t="s">
        <v>250</v>
      </c>
    </row>
    <row r="93" spans="1:11" s="18" customFormat="1" x14ac:dyDescent="0.25">
      <c r="A93" s="121"/>
      <c r="B93" s="121"/>
      <c r="C93" s="17" t="s">
        <v>14</v>
      </c>
      <c r="D93" s="48">
        <v>0</v>
      </c>
      <c r="E93" s="34">
        <v>0</v>
      </c>
      <c r="F93" s="69"/>
      <c r="G93" s="124"/>
      <c r="H93" s="140"/>
      <c r="I93" s="121"/>
      <c r="J93" s="115"/>
      <c r="K93" s="115"/>
    </row>
    <row r="94" spans="1:11" s="18" customFormat="1" x14ac:dyDescent="0.25">
      <c r="A94" s="121"/>
      <c r="B94" s="121"/>
      <c r="C94" s="17" t="s">
        <v>16</v>
      </c>
      <c r="D94" s="47">
        <v>480263.5</v>
      </c>
      <c r="E94" s="34">
        <v>518737.98</v>
      </c>
      <c r="F94" s="69">
        <f>E94/D94*100</f>
        <v>108.01111889618929</v>
      </c>
      <c r="G94" s="124"/>
      <c r="H94" s="140"/>
      <c r="I94" s="121"/>
      <c r="J94" s="115"/>
      <c r="K94" s="115"/>
    </row>
    <row r="95" spans="1:11" s="18" customFormat="1" x14ac:dyDescent="0.25">
      <c r="A95" s="121"/>
      <c r="B95" s="121"/>
      <c r="C95" s="17" t="s">
        <v>15</v>
      </c>
      <c r="D95" s="48">
        <v>0</v>
      </c>
      <c r="E95" s="34">
        <v>0</v>
      </c>
      <c r="F95" s="69"/>
      <c r="G95" s="124"/>
      <c r="H95" s="140"/>
      <c r="I95" s="121"/>
      <c r="J95" s="115"/>
      <c r="K95" s="115"/>
    </row>
    <row r="96" spans="1:11" s="18" customFormat="1" ht="300.75" customHeight="1" x14ac:dyDescent="0.25">
      <c r="A96" s="122"/>
      <c r="B96" s="122"/>
      <c r="C96" s="17" t="s">
        <v>17</v>
      </c>
      <c r="D96" s="52">
        <v>0</v>
      </c>
      <c r="E96" s="34">
        <v>0</v>
      </c>
      <c r="F96" s="69"/>
      <c r="G96" s="125"/>
      <c r="H96" s="141"/>
      <c r="I96" s="122"/>
      <c r="J96" s="116"/>
      <c r="K96" s="116"/>
    </row>
    <row r="97" spans="1:11" s="18" customFormat="1" ht="15" customHeight="1" x14ac:dyDescent="0.25">
      <c r="A97" s="120" t="s">
        <v>106</v>
      </c>
      <c r="B97" s="120" t="s">
        <v>112</v>
      </c>
      <c r="C97" s="17" t="s">
        <v>13</v>
      </c>
      <c r="D97" s="48">
        <f t="shared" ref="D97" si="16">D98</f>
        <v>4.2</v>
      </c>
      <c r="E97" s="34">
        <f t="shared" ref="E97" si="17">E98+E99+E100+E101</f>
        <v>4.2</v>
      </c>
      <c r="F97" s="69">
        <f>E97/D97*100</f>
        <v>100</v>
      </c>
      <c r="G97" s="129" t="s">
        <v>270</v>
      </c>
      <c r="H97" s="129" t="s">
        <v>252</v>
      </c>
      <c r="I97" s="120" t="s">
        <v>217</v>
      </c>
      <c r="J97" s="114" t="s">
        <v>91</v>
      </c>
      <c r="K97" s="114"/>
    </row>
    <row r="98" spans="1:11" s="18" customFormat="1" x14ac:dyDescent="0.25">
      <c r="A98" s="121"/>
      <c r="B98" s="121"/>
      <c r="C98" s="17" t="s">
        <v>14</v>
      </c>
      <c r="D98" s="48">
        <v>4.2</v>
      </c>
      <c r="E98" s="34">
        <v>4.2</v>
      </c>
      <c r="F98" s="69">
        <f>E98/D98*100</f>
        <v>100</v>
      </c>
      <c r="G98" s="118"/>
      <c r="H98" s="118"/>
      <c r="I98" s="121"/>
      <c r="J98" s="115"/>
      <c r="K98" s="115"/>
    </row>
    <row r="99" spans="1:11" s="18" customFormat="1" x14ac:dyDescent="0.25">
      <c r="A99" s="121"/>
      <c r="B99" s="121"/>
      <c r="C99" s="17" t="s">
        <v>16</v>
      </c>
      <c r="D99" s="48">
        <v>0</v>
      </c>
      <c r="E99" s="34">
        <v>0</v>
      </c>
      <c r="F99" s="69"/>
      <c r="G99" s="118"/>
      <c r="H99" s="118"/>
      <c r="I99" s="121"/>
      <c r="J99" s="115"/>
      <c r="K99" s="115"/>
    </row>
    <row r="100" spans="1:11" s="18" customFormat="1" x14ac:dyDescent="0.25">
      <c r="A100" s="121"/>
      <c r="B100" s="121"/>
      <c r="C100" s="17" t="s">
        <v>15</v>
      </c>
      <c r="D100" s="48">
        <v>0</v>
      </c>
      <c r="E100" s="34">
        <v>0</v>
      </c>
      <c r="F100" s="69"/>
      <c r="G100" s="118"/>
      <c r="H100" s="118"/>
      <c r="I100" s="121"/>
      <c r="J100" s="115"/>
      <c r="K100" s="115"/>
    </row>
    <row r="101" spans="1:11" s="18" customFormat="1" x14ac:dyDescent="0.25">
      <c r="A101" s="122"/>
      <c r="B101" s="122"/>
      <c r="C101" s="17" t="s">
        <v>17</v>
      </c>
      <c r="D101" s="48">
        <v>0</v>
      </c>
      <c r="E101" s="34">
        <v>0</v>
      </c>
      <c r="F101" s="69"/>
      <c r="G101" s="118"/>
      <c r="H101" s="118"/>
      <c r="I101" s="122"/>
      <c r="J101" s="116"/>
      <c r="K101" s="116"/>
    </row>
    <row r="102" spans="1:11" s="18" customFormat="1" x14ac:dyDescent="0.25">
      <c r="A102" s="120" t="s">
        <v>107</v>
      </c>
      <c r="B102" s="120" t="s">
        <v>113</v>
      </c>
      <c r="C102" s="17" t="s">
        <v>13</v>
      </c>
      <c r="D102" s="48">
        <v>3049.9</v>
      </c>
      <c r="E102" s="34">
        <f>E103+E104+E105+E106</f>
        <v>3041.2</v>
      </c>
      <c r="F102" s="69">
        <f>E102/D102*100</f>
        <v>99.714744745729362</v>
      </c>
      <c r="G102" s="118"/>
      <c r="H102" s="118"/>
      <c r="I102" s="120" t="s">
        <v>217</v>
      </c>
      <c r="J102" s="114" t="s">
        <v>91</v>
      </c>
      <c r="K102" s="114"/>
    </row>
    <row r="103" spans="1:11" s="18" customFormat="1" x14ac:dyDescent="0.25">
      <c r="A103" s="121"/>
      <c r="B103" s="121"/>
      <c r="C103" s="17" t="s">
        <v>14</v>
      </c>
      <c r="D103" s="48">
        <v>0</v>
      </c>
      <c r="E103" s="34">
        <v>0</v>
      </c>
      <c r="F103" s="69"/>
      <c r="G103" s="118"/>
      <c r="H103" s="118"/>
      <c r="I103" s="121"/>
      <c r="J103" s="115"/>
      <c r="K103" s="115"/>
    </row>
    <row r="104" spans="1:11" s="18" customFormat="1" x14ac:dyDescent="0.25">
      <c r="A104" s="121"/>
      <c r="B104" s="121"/>
      <c r="C104" s="17" t="s">
        <v>16</v>
      </c>
      <c r="D104" s="48">
        <v>3049.9</v>
      </c>
      <c r="E104" s="34">
        <v>3041.2</v>
      </c>
      <c r="F104" s="69">
        <f>E104/D104*100</f>
        <v>99.714744745729362</v>
      </c>
      <c r="G104" s="118"/>
      <c r="H104" s="118"/>
      <c r="I104" s="121"/>
      <c r="J104" s="115"/>
      <c r="K104" s="115"/>
    </row>
    <row r="105" spans="1:11" s="18" customFormat="1" x14ac:dyDescent="0.25">
      <c r="A105" s="121"/>
      <c r="B105" s="121"/>
      <c r="C105" s="17" t="s">
        <v>15</v>
      </c>
      <c r="D105" s="48">
        <v>0</v>
      </c>
      <c r="E105" s="34">
        <v>0</v>
      </c>
      <c r="F105" s="69"/>
      <c r="G105" s="118"/>
      <c r="H105" s="118"/>
      <c r="I105" s="121"/>
      <c r="J105" s="115"/>
      <c r="K105" s="115"/>
    </row>
    <row r="106" spans="1:11" s="18" customFormat="1" ht="160.5" customHeight="1" x14ac:dyDescent="0.25">
      <c r="A106" s="122"/>
      <c r="B106" s="122"/>
      <c r="C106" s="17" t="s">
        <v>17</v>
      </c>
      <c r="D106" s="55">
        <v>0</v>
      </c>
      <c r="E106" s="34">
        <v>0</v>
      </c>
      <c r="F106" s="69"/>
      <c r="G106" s="118"/>
      <c r="H106" s="118"/>
      <c r="I106" s="122"/>
      <c r="J106" s="116"/>
      <c r="K106" s="116"/>
    </row>
    <row r="107" spans="1:11" s="18" customFormat="1" x14ac:dyDescent="0.25">
      <c r="A107" s="120" t="s">
        <v>251</v>
      </c>
      <c r="B107" s="120" t="s">
        <v>253</v>
      </c>
      <c r="C107" s="17" t="s">
        <v>13</v>
      </c>
      <c r="D107" s="56">
        <f t="shared" ref="D107" si="18">D108+D109+D110+D111</f>
        <v>4520.2</v>
      </c>
      <c r="E107" s="34">
        <f>E108+E109+E110+E111</f>
        <v>4520.2</v>
      </c>
      <c r="F107" s="69">
        <f>E107/D107*100</f>
        <v>100</v>
      </c>
      <c r="G107" s="130"/>
      <c r="H107" s="130"/>
      <c r="I107" s="120" t="s">
        <v>217</v>
      </c>
      <c r="J107" s="114" t="s">
        <v>91</v>
      </c>
      <c r="K107" s="80"/>
    </row>
    <row r="108" spans="1:11" s="18" customFormat="1" x14ac:dyDescent="0.25">
      <c r="A108" s="121"/>
      <c r="B108" s="121"/>
      <c r="C108" s="17" t="s">
        <v>14</v>
      </c>
      <c r="D108" s="56">
        <v>0</v>
      </c>
      <c r="E108" s="34">
        <v>0</v>
      </c>
      <c r="F108" s="69"/>
      <c r="G108" s="130"/>
      <c r="H108" s="130"/>
      <c r="I108" s="121"/>
      <c r="J108" s="115"/>
      <c r="K108" s="80"/>
    </row>
    <row r="109" spans="1:11" s="18" customFormat="1" x14ac:dyDescent="0.25">
      <c r="A109" s="121"/>
      <c r="B109" s="121"/>
      <c r="C109" s="17" t="s">
        <v>16</v>
      </c>
      <c r="D109" s="56">
        <v>4520.2</v>
      </c>
      <c r="E109" s="34">
        <v>4520.2</v>
      </c>
      <c r="F109" s="69">
        <f>E109/D109*100</f>
        <v>100</v>
      </c>
      <c r="G109" s="130"/>
      <c r="H109" s="130"/>
      <c r="I109" s="121"/>
      <c r="J109" s="115"/>
      <c r="K109" s="80"/>
    </row>
    <row r="110" spans="1:11" s="18" customFormat="1" x14ac:dyDescent="0.25">
      <c r="A110" s="121"/>
      <c r="B110" s="121"/>
      <c r="C110" s="17" t="s">
        <v>15</v>
      </c>
      <c r="D110" s="56">
        <v>0</v>
      </c>
      <c r="E110" s="34">
        <v>0</v>
      </c>
      <c r="F110" s="69"/>
      <c r="G110" s="130"/>
      <c r="H110" s="130"/>
      <c r="I110" s="121"/>
      <c r="J110" s="115"/>
      <c r="K110" s="80"/>
    </row>
    <row r="111" spans="1:11" s="18" customFormat="1" ht="182.25" customHeight="1" x14ac:dyDescent="0.25">
      <c r="A111" s="122"/>
      <c r="B111" s="122"/>
      <c r="C111" s="17" t="s">
        <v>17</v>
      </c>
      <c r="D111" s="56">
        <v>0</v>
      </c>
      <c r="E111" s="34">
        <v>0</v>
      </c>
      <c r="F111" s="69"/>
      <c r="G111" s="131"/>
      <c r="H111" s="131"/>
      <c r="I111" s="122"/>
      <c r="J111" s="116"/>
      <c r="K111" s="80"/>
    </row>
    <row r="112" spans="1:11" s="7" customFormat="1" x14ac:dyDescent="0.2">
      <c r="A112" s="94" t="s">
        <v>28</v>
      </c>
      <c r="B112" s="94" t="s">
        <v>119</v>
      </c>
      <c r="C112" s="10" t="s">
        <v>13</v>
      </c>
      <c r="D112" s="57">
        <f t="shared" ref="D112" si="19">SUM(D113:D116)</f>
        <v>85311.299999999988</v>
      </c>
      <c r="E112" s="39">
        <f>E113+E114+E115+E116</f>
        <v>82367.553</v>
      </c>
      <c r="F112" s="67">
        <f>E112/D112*100</f>
        <v>96.549405530099776</v>
      </c>
      <c r="G112" s="95"/>
      <c r="H112" s="77" t="s">
        <v>18</v>
      </c>
      <c r="I112" s="43">
        <f>I117+I142+I162+I187+I197+I207+I217</f>
        <v>15</v>
      </c>
      <c r="J112" s="95" t="s">
        <v>164</v>
      </c>
      <c r="K112" s="95"/>
    </row>
    <row r="113" spans="1:13" s="7" customFormat="1" x14ac:dyDescent="0.2">
      <c r="A113" s="94"/>
      <c r="B113" s="94"/>
      <c r="C113" s="10" t="s">
        <v>14</v>
      </c>
      <c r="D113" s="47">
        <f>D118+D143+D163+D208+D198+D218+D188</f>
        <v>63531.7</v>
      </c>
      <c r="E113" s="39">
        <f>E118+E143+E163+E188+E198+E208+E218</f>
        <v>63347.133000000002</v>
      </c>
      <c r="F113" s="67">
        <f>E113/D113*100</f>
        <v>99.709488334170189</v>
      </c>
      <c r="G113" s="96"/>
      <c r="H113" s="77" t="s">
        <v>19</v>
      </c>
      <c r="I113" s="43">
        <f>I118+I143+I163+I188+I198+I208+I218</f>
        <v>15</v>
      </c>
      <c r="J113" s="96"/>
      <c r="K113" s="96"/>
    </row>
    <row r="114" spans="1:13" s="7" customFormat="1" x14ac:dyDescent="0.2">
      <c r="A114" s="94"/>
      <c r="B114" s="94"/>
      <c r="C114" s="10" t="s">
        <v>16</v>
      </c>
      <c r="D114" s="47">
        <f t="shared" ref="D114" si="20">D119+D144+D164+D209+D199+D219+D189</f>
        <v>21779.599999999999</v>
      </c>
      <c r="E114" s="39">
        <f>E119+E144+E164+E189+E199+E209+E219</f>
        <v>19020.419999999998</v>
      </c>
      <c r="F114" s="67">
        <f>E114/D114*100</f>
        <v>87.331355947767634</v>
      </c>
      <c r="G114" s="96"/>
      <c r="H114" s="77" t="s">
        <v>20</v>
      </c>
      <c r="I114" s="43">
        <f>I119+I144+I164+I189+I199+I209+I219</f>
        <v>0</v>
      </c>
      <c r="J114" s="96"/>
      <c r="K114" s="96"/>
    </row>
    <row r="115" spans="1:13" s="7" customFormat="1" x14ac:dyDescent="0.2">
      <c r="A115" s="94"/>
      <c r="B115" s="94"/>
      <c r="C115" s="10" t="s">
        <v>15</v>
      </c>
      <c r="D115" s="58">
        <f t="shared" ref="D115:D116" si="21">D120+D145+D165+D210+D200</f>
        <v>0</v>
      </c>
      <c r="E115" s="39">
        <f>E120+E145+E165+E190+E200+E210+E220</f>
        <v>0</v>
      </c>
      <c r="F115" s="67"/>
      <c r="G115" s="96"/>
      <c r="H115" s="77" t="s">
        <v>21</v>
      </c>
      <c r="I115" s="43">
        <f>I120+I145+I165+I190+I200+I210+I220</f>
        <v>0</v>
      </c>
      <c r="J115" s="96"/>
      <c r="K115" s="96"/>
    </row>
    <row r="116" spans="1:13" s="7" customFormat="1" ht="63" customHeight="1" x14ac:dyDescent="0.2">
      <c r="A116" s="94"/>
      <c r="B116" s="94"/>
      <c r="C116" s="10" t="s">
        <v>17</v>
      </c>
      <c r="D116" s="58">
        <f t="shared" si="21"/>
        <v>0</v>
      </c>
      <c r="E116" s="40">
        <f>E121+E146+E166+E191+E201+E211+E221</f>
        <v>0</v>
      </c>
      <c r="F116" s="67"/>
      <c r="G116" s="97"/>
      <c r="H116" s="77" t="s">
        <v>22</v>
      </c>
      <c r="I116" s="78">
        <f>I113/I112*100</f>
        <v>100</v>
      </c>
      <c r="J116" s="97"/>
      <c r="K116" s="97"/>
    </row>
    <row r="117" spans="1:13" ht="13.9" customHeight="1" x14ac:dyDescent="0.25">
      <c r="A117" s="107" t="s">
        <v>31</v>
      </c>
      <c r="B117" s="107" t="s">
        <v>290</v>
      </c>
      <c r="C117" s="2" t="s">
        <v>13</v>
      </c>
      <c r="D117" s="58">
        <f t="shared" ref="D117" si="22">D122+D127+D137+D132</f>
        <v>56168.4</v>
      </c>
      <c r="E117" s="33">
        <f>E118+E119+E120+E121</f>
        <v>56026.740000000005</v>
      </c>
      <c r="F117" s="68">
        <f>E117/D117*100</f>
        <v>99.747794133356123</v>
      </c>
      <c r="G117" s="136"/>
      <c r="H117" s="73" t="s">
        <v>18</v>
      </c>
      <c r="I117" s="42">
        <f>COUNTA(I122:I141)</f>
        <v>4</v>
      </c>
      <c r="J117" s="114" t="s">
        <v>120</v>
      </c>
      <c r="K117" s="136"/>
    </row>
    <row r="118" spans="1:13" x14ac:dyDescent="0.25">
      <c r="A118" s="107"/>
      <c r="B118" s="107"/>
      <c r="C118" s="2" t="s">
        <v>14</v>
      </c>
      <c r="D118" s="58">
        <f>D123+D128+D138+D133</f>
        <v>56168.4</v>
      </c>
      <c r="E118" s="33">
        <f>E123+E128+E133+E138</f>
        <v>56026.740000000005</v>
      </c>
      <c r="F118" s="68">
        <f>E118/D118*100</f>
        <v>99.747794133356123</v>
      </c>
      <c r="G118" s="136"/>
      <c r="H118" s="73" t="s">
        <v>19</v>
      </c>
      <c r="I118" s="42">
        <f>COUNTIF(I122:I141,"да")</f>
        <v>4</v>
      </c>
      <c r="J118" s="115"/>
      <c r="K118" s="136"/>
      <c r="M118" s="16"/>
    </row>
    <row r="119" spans="1:13" x14ac:dyDescent="0.25">
      <c r="A119" s="107"/>
      <c r="B119" s="107"/>
      <c r="C119" s="2" t="s">
        <v>16</v>
      </c>
      <c r="D119" s="58">
        <f t="shared" ref="D119" si="23">D124+D129+D139+D134</f>
        <v>0</v>
      </c>
      <c r="E119" s="33">
        <f>E134</f>
        <v>0</v>
      </c>
      <c r="F119" s="68"/>
      <c r="G119" s="136"/>
      <c r="H119" s="73" t="s">
        <v>20</v>
      </c>
      <c r="I119" s="42">
        <f>COUNTIF(I122:J141,"частично")</f>
        <v>0</v>
      </c>
      <c r="J119" s="115"/>
      <c r="K119" s="136"/>
    </row>
    <row r="120" spans="1:13" x14ac:dyDescent="0.25">
      <c r="A120" s="107"/>
      <c r="B120" s="107"/>
      <c r="C120" s="2" t="s">
        <v>15</v>
      </c>
      <c r="D120" s="58">
        <v>0</v>
      </c>
      <c r="E120" s="33">
        <f t="shared" ref="E120:E121" si="24">E125+E130+E135+E140</f>
        <v>0</v>
      </c>
      <c r="F120" s="68"/>
      <c r="G120" s="136"/>
      <c r="H120" s="73" t="s">
        <v>21</v>
      </c>
      <c r="I120" s="42">
        <f>COUNTIF(I122:I141,"нет")</f>
        <v>0</v>
      </c>
      <c r="J120" s="115"/>
      <c r="K120" s="136"/>
    </row>
    <row r="121" spans="1:13" x14ac:dyDescent="0.25">
      <c r="A121" s="107"/>
      <c r="B121" s="107"/>
      <c r="C121" s="2" t="s">
        <v>17</v>
      </c>
      <c r="D121" s="59">
        <v>0</v>
      </c>
      <c r="E121" s="33">
        <f t="shared" si="24"/>
        <v>0</v>
      </c>
      <c r="F121" s="68"/>
      <c r="G121" s="136"/>
      <c r="H121" s="73" t="s">
        <v>22</v>
      </c>
      <c r="I121" s="79">
        <f>I118/I117*100</f>
        <v>100</v>
      </c>
      <c r="J121" s="116"/>
      <c r="K121" s="136"/>
    </row>
    <row r="122" spans="1:13" x14ac:dyDescent="0.25">
      <c r="A122" s="113" t="s">
        <v>29</v>
      </c>
      <c r="B122" s="113" t="s">
        <v>72</v>
      </c>
      <c r="C122" s="17" t="s">
        <v>13</v>
      </c>
      <c r="D122" s="59">
        <f t="shared" ref="D122" si="25">SUM(D123:D126)</f>
        <v>5075</v>
      </c>
      <c r="E122" s="36">
        <f>E123+E124+E125+E126</f>
        <v>5075</v>
      </c>
      <c r="F122" s="69">
        <f>E122/D122*100</f>
        <v>100</v>
      </c>
      <c r="G122" s="142" t="s">
        <v>254</v>
      </c>
      <c r="H122" s="142" t="s">
        <v>278</v>
      </c>
      <c r="I122" s="120" t="s">
        <v>217</v>
      </c>
      <c r="J122" s="114" t="s">
        <v>24</v>
      </c>
      <c r="K122" s="114"/>
    </row>
    <row r="123" spans="1:13" x14ac:dyDescent="0.25">
      <c r="A123" s="113"/>
      <c r="B123" s="113"/>
      <c r="C123" s="17" t="s">
        <v>14</v>
      </c>
      <c r="D123" s="59">
        <f>3060.9+2014.1</f>
        <v>5075</v>
      </c>
      <c r="E123" s="45">
        <v>5075</v>
      </c>
      <c r="F123" s="69">
        <f>E123/D123*100</f>
        <v>100</v>
      </c>
      <c r="G123" s="143"/>
      <c r="H123" s="143"/>
      <c r="I123" s="121"/>
      <c r="J123" s="115"/>
      <c r="K123" s="115"/>
    </row>
    <row r="124" spans="1:13" x14ac:dyDescent="0.25">
      <c r="A124" s="113"/>
      <c r="B124" s="113"/>
      <c r="C124" s="17" t="s">
        <v>16</v>
      </c>
      <c r="D124" s="59">
        <v>0</v>
      </c>
      <c r="E124" s="36">
        <v>0</v>
      </c>
      <c r="F124" s="69"/>
      <c r="G124" s="143"/>
      <c r="H124" s="143"/>
      <c r="I124" s="121"/>
      <c r="J124" s="115"/>
      <c r="K124" s="115"/>
    </row>
    <row r="125" spans="1:13" x14ac:dyDescent="0.25">
      <c r="A125" s="113"/>
      <c r="B125" s="113"/>
      <c r="C125" s="17" t="s">
        <v>15</v>
      </c>
      <c r="D125" s="58">
        <v>0</v>
      </c>
      <c r="E125" s="36">
        <v>0</v>
      </c>
      <c r="F125" s="69"/>
      <c r="G125" s="143"/>
      <c r="H125" s="143"/>
      <c r="I125" s="121"/>
      <c r="J125" s="115"/>
      <c r="K125" s="115"/>
    </row>
    <row r="126" spans="1:13" ht="17.25" customHeight="1" x14ac:dyDescent="0.25">
      <c r="A126" s="113"/>
      <c r="B126" s="113"/>
      <c r="C126" s="17" t="s">
        <v>17</v>
      </c>
      <c r="D126" s="58">
        <v>0</v>
      </c>
      <c r="E126" s="36">
        <v>0</v>
      </c>
      <c r="F126" s="69"/>
      <c r="G126" s="144"/>
      <c r="H126" s="144"/>
      <c r="I126" s="122"/>
      <c r="J126" s="116"/>
      <c r="K126" s="116"/>
    </row>
    <row r="127" spans="1:13" x14ac:dyDescent="0.25">
      <c r="A127" s="113" t="s">
        <v>30</v>
      </c>
      <c r="B127" s="113" t="s">
        <v>114</v>
      </c>
      <c r="C127" s="17" t="s">
        <v>13</v>
      </c>
      <c r="D127" s="59">
        <f t="shared" ref="D127" si="26">SUM(D128:D131)</f>
        <v>345</v>
      </c>
      <c r="E127" s="36">
        <f>E128+E129+E130+E131</f>
        <v>324.3</v>
      </c>
      <c r="F127" s="69">
        <f>E127/D127*100</f>
        <v>94</v>
      </c>
      <c r="G127" s="142" t="s">
        <v>220</v>
      </c>
      <c r="H127" s="142" t="s">
        <v>228</v>
      </c>
      <c r="I127" s="120" t="s">
        <v>217</v>
      </c>
      <c r="J127" s="114" t="s">
        <v>24</v>
      </c>
      <c r="K127" s="114"/>
    </row>
    <row r="128" spans="1:13" x14ac:dyDescent="0.25">
      <c r="A128" s="113"/>
      <c r="B128" s="113"/>
      <c r="C128" s="17" t="s">
        <v>14</v>
      </c>
      <c r="D128" s="47">
        <v>345</v>
      </c>
      <c r="E128" s="45">
        <v>324.3</v>
      </c>
      <c r="F128" s="69">
        <f>E128/D128*100</f>
        <v>94</v>
      </c>
      <c r="G128" s="143"/>
      <c r="H128" s="143"/>
      <c r="I128" s="121"/>
      <c r="J128" s="115"/>
      <c r="K128" s="115"/>
    </row>
    <row r="129" spans="1:11" x14ac:dyDescent="0.25">
      <c r="A129" s="113"/>
      <c r="B129" s="113"/>
      <c r="C129" s="17" t="s">
        <v>16</v>
      </c>
      <c r="D129" s="59">
        <v>0</v>
      </c>
      <c r="E129" s="36">
        <v>0</v>
      </c>
      <c r="F129" s="69"/>
      <c r="G129" s="143"/>
      <c r="H129" s="143"/>
      <c r="I129" s="121"/>
      <c r="J129" s="115"/>
      <c r="K129" s="115"/>
    </row>
    <row r="130" spans="1:11" x14ac:dyDescent="0.25">
      <c r="A130" s="113"/>
      <c r="B130" s="113"/>
      <c r="C130" s="17" t="s">
        <v>15</v>
      </c>
      <c r="D130" s="58">
        <v>0</v>
      </c>
      <c r="E130" s="36">
        <v>0</v>
      </c>
      <c r="F130" s="69"/>
      <c r="G130" s="143"/>
      <c r="H130" s="143"/>
      <c r="I130" s="121"/>
      <c r="J130" s="115"/>
      <c r="K130" s="115"/>
    </row>
    <row r="131" spans="1:11" ht="110.25" customHeight="1" x14ac:dyDescent="0.25">
      <c r="A131" s="113"/>
      <c r="B131" s="113"/>
      <c r="C131" s="17" t="s">
        <v>17</v>
      </c>
      <c r="D131" s="58">
        <v>0</v>
      </c>
      <c r="E131" s="37">
        <v>0</v>
      </c>
      <c r="F131" s="69"/>
      <c r="G131" s="144"/>
      <c r="H131" s="144"/>
      <c r="I131" s="122"/>
      <c r="J131" s="116"/>
      <c r="K131" s="116"/>
    </row>
    <row r="132" spans="1:11" s="18" customFormat="1" x14ac:dyDescent="0.25">
      <c r="A132" s="113" t="s">
        <v>117</v>
      </c>
      <c r="B132" s="113" t="s">
        <v>115</v>
      </c>
      <c r="C132" s="17" t="s">
        <v>13</v>
      </c>
      <c r="D132" s="59">
        <f>D133+D134</f>
        <v>566</v>
      </c>
      <c r="E132" s="36">
        <v>566</v>
      </c>
      <c r="F132" s="69">
        <f>E132/D132*100</f>
        <v>100</v>
      </c>
      <c r="G132" s="142" t="s">
        <v>261</v>
      </c>
      <c r="H132" s="142" t="s">
        <v>297</v>
      </c>
      <c r="I132" s="120" t="s">
        <v>217</v>
      </c>
      <c r="J132" s="114" t="s">
        <v>120</v>
      </c>
      <c r="K132" s="114"/>
    </row>
    <row r="133" spans="1:11" s="18" customFormat="1" x14ac:dyDescent="0.25">
      <c r="A133" s="113"/>
      <c r="B133" s="113"/>
      <c r="C133" s="17" t="s">
        <v>14</v>
      </c>
      <c r="D133" s="59">
        <v>566</v>
      </c>
      <c r="E133" s="36">
        <v>566</v>
      </c>
      <c r="F133" s="69">
        <f>E133/D133*100</f>
        <v>100</v>
      </c>
      <c r="G133" s="143"/>
      <c r="H133" s="143"/>
      <c r="I133" s="121"/>
      <c r="J133" s="115"/>
      <c r="K133" s="115"/>
    </row>
    <row r="134" spans="1:11" s="18" customFormat="1" x14ac:dyDescent="0.25">
      <c r="A134" s="113"/>
      <c r="B134" s="113"/>
      <c r="C134" s="17" t="s">
        <v>16</v>
      </c>
      <c r="D134" s="58">
        <v>0</v>
      </c>
      <c r="E134" s="36">
        <v>0</v>
      </c>
      <c r="F134" s="69"/>
      <c r="G134" s="143"/>
      <c r="H134" s="143"/>
      <c r="I134" s="121"/>
      <c r="J134" s="115"/>
      <c r="K134" s="115"/>
    </row>
    <row r="135" spans="1:11" s="18" customFormat="1" x14ac:dyDescent="0.25">
      <c r="A135" s="113"/>
      <c r="B135" s="113"/>
      <c r="C135" s="17" t="s">
        <v>15</v>
      </c>
      <c r="D135" s="58">
        <v>0</v>
      </c>
      <c r="E135" s="36">
        <v>0</v>
      </c>
      <c r="F135" s="69"/>
      <c r="G135" s="143"/>
      <c r="H135" s="143"/>
      <c r="I135" s="121"/>
      <c r="J135" s="115"/>
      <c r="K135" s="115"/>
    </row>
    <row r="136" spans="1:11" s="18" customFormat="1" ht="153.75" customHeight="1" x14ac:dyDescent="0.25">
      <c r="A136" s="113"/>
      <c r="B136" s="113"/>
      <c r="C136" s="17" t="s">
        <v>17</v>
      </c>
      <c r="D136" s="58">
        <v>0</v>
      </c>
      <c r="E136" s="37">
        <v>0</v>
      </c>
      <c r="F136" s="69"/>
      <c r="G136" s="144"/>
      <c r="H136" s="144"/>
      <c r="I136" s="122"/>
      <c r="J136" s="116"/>
      <c r="K136" s="116"/>
    </row>
    <row r="137" spans="1:11" s="18" customFormat="1" x14ac:dyDescent="0.25">
      <c r="A137" s="113" t="s">
        <v>118</v>
      </c>
      <c r="B137" s="113" t="s">
        <v>116</v>
      </c>
      <c r="C137" s="17" t="s">
        <v>13</v>
      </c>
      <c r="D137" s="59">
        <f t="shared" ref="D137" si="27">SUM(D138:D141)</f>
        <v>50182.400000000001</v>
      </c>
      <c r="E137" s="36">
        <f>E138+E139+E140+E141</f>
        <v>50061.440000000002</v>
      </c>
      <c r="F137" s="69">
        <f>E137/D137*100</f>
        <v>99.758959316413723</v>
      </c>
      <c r="G137" s="142" t="s">
        <v>221</v>
      </c>
      <c r="H137" s="142" t="s">
        <v>279</v>
      </c>
      <c r="I137" s="120" t="s">
        <v>217</v>
      </c>
      <c r="J137" s="114" t="s">
        <v>24</v>
      </c>
      <c r="K137" s="114"/>
    </row>
    <row r="138" spans="1:11" s="18" customFormat="1" x14ac:dyDescent="0.25">
      <c r="A138" s="113"/>
      <c r="B138" s="113"/>
      <c r="C138" s="17" t="s">
        <v>14</v>
      </c>
      <c r="D138" s="47">
        <f>42600+7300+282.4</f>
        <v>50182.400000000001</v>
      </c>
      <c r="E138" s="36">
        <v>50061.440000000002</v>
      </c>
      <c r="F138" s="69">
        <f>E138/D138*100</f>
        <v>99.758959316413723</v>
      </c>
      <c r="G138" s="143"/>
      <c r="H138" s="143"/>
      <c r="I138" s="121"/>
      <c r="J138" s="115"/>
      <c r="K138" s="115"/>
    </row>
    <row r="139" spans="1:11" s="18" customFormat="1" x14ac:dyDescent="0.25">
      <c r="A139" s="113"/>
      <c r="B139" s="113"/>
      <c r="C139" s="17" t="s">
        <v>16</v>
      </c>
      <c r="D139" s="59">
        <v>0</v>
      </c>
      <c r="E139" s="36">
        <v>0</v>
      </c>
      <c r="F139" s="69"/>
      <c r="G139" s="143"/>
      <c r="H139" s="143"/>
      <c r="I139" s="121"/>
      <c r="J139" s="115"/>
      <c r="K139" s="115"/>
    </row>
    <row r="140" spans="1:11" s="18" customFormat="1" x14ac:dyDescent="0.25">
      <c r="A140" s="113"/>
      <c r="B140" s="113"/>
      <c r="C140" s="17" t="s">
        <v>15</v>
      </c>
      <c r="D140" s="58">
        <v>0</v>
      </c>
      <c r="E140" s="36">
        <v>0</v>
      </c>
      <c r="F140" s="69"/>
      <c r="G140" s="143"/>
      <c r="H140" s="143"/>
      <c r="I140" s="121"/>
      <c r="J140" s="115"/>
      <c r="K140" s="115"/>
    </row>
    <row r="141" spans="1:11" s="18" customFormat="1" ht="90" customHeight="1" x14ac:dyDescent="0.25">
      <c r="A141" s="113"/>
      <c r="B141" s="113"/>
      <c r="C141" s="17" t="s">
        <v>17</v>
      </c>
      <c r="D141" s="58">
        <v>0</v>
      </c>
      <c r="E141" s="36">
        <v>0</v>
      </c>
      <c r="F141" s="69"/>
      <c r="G141" s="144"/>
      <c r="H141" s="144"/>
      <c r="I141" s="122"/>
      <c r="J141" s="116"/>
      <c r="K141" s="116"/>
    </row>
    <row r="142" spans="1:11" s="18" customFormat="1" ht="13.9" customHeight="1" x14ac:dyDescent="0.25">
      <c r="A142" s="107" t="s">
        <v>121</v>
      </c>
      <c r="B142" s="107" t="s">
        <v>291</v>
      </c>
      <c r="C142" s="2" t="s">
        <v>13</v>
      </c>
      <c r="D142" s="47">
        <f t="shared" ref="D142" si="28">SUM(D143:D146)</f>
        <v>4541.6000000000004</v>
      </c>
      <c r="E142" s="33">
        <f>E143+E144+E145+E146</f>
        <v>4541.6000000000004</v>
      </c>
      <c r="F142" s="68">
        <f>E142/D142*100</f>
        <v>100</v>
      </c>
      <c r="G142" s="145"/>
      <c r="H142" s="81" t="s">
        <v>18</v>
      </c>
      <c r="I142" s="42">
        <f>COUNTA(I147:I161)</f>
        <v>3</v>
      </c>
      <c r="J142" s="98" t="s">
        <v>24</v>
      </c>
      <c r="K142" s="136"/>
    </row>
    <row r="143" spans="1:11" s="18" customFormat="1" x14ac:dyDescent="0.25">
      <c r="A143" s="107"/>
      <c r="B143" s="107"/>
      <c r="C143" s="2" t="s">
        <v>14</v>
      </c>
      <c r="D143" s="47">
        <f t="shared" ref="D143" si="29">D148+D153+D158</f>
        <v>4541.6000000000004</v>
      </c>
      <c r="E143" s="33">
        <f>E148+E153+E158</f>
        <v>4541.6000000000004</v>
      </c>
      <c r="F143" s="68">
        <f>E143/D143*100</f>
        <v>100</v>
      </c>
      <c r="G143" s="145"/>
      <c r="H143" s="81" t="s">
        <v>19</v>
      </c>
      <c r="I143" s="42">
        <f>COUNTIF(I147:I161,"да")</f>
        <v>3</v>
      </c>
      <c r="J143" s="99"/>
      <c r="K143" s="136"/>
    </row>
    <row r="144" spans="1:11" s="18" customFormat="1" x14ac:dyDescent="0.25">
      <c r="A144" s="107"/>
      <c r="B144" s="107"/>
      <c r="C144" s="2" t="s">
        <v>16</v>
      </c>
      <c r="D144" s="58">
        <v>0</v>
      </c>
      <c r="E144" s="33">
        <f t="shared" ref="E144:E146" si="30">E149+E154+E159</f>
        <v>0</v>
      </c>
      <c r="F144" s="68"/>
      <c r="G144" s="145"/>
      <c r="H144" s="81" t="s">
        <v>20</v>
      </c>
      <c r="I144" s="42">
        <f>COUNTIF(I147:I161,"частично")</f>
        <v>0</v>
      </c>
      <c r="J144" s="99"/>
      <c r="K144" s="136"/>
    </row>
    <row r="145" spans="1:11" s="18" customFormat="1" x14ac:dyDescent="0.25">
      <c r="A145" s="107"/>
      <c r="B145" s="107"/>
      <c r="C145" s="2" t="s">
        <v>15</v>
      </c>
      <c r="D145" s="58">
        <v>0</v>
      </c>
      <c r="E145" s="33">
        <f t="shared" si="30"/>
        <v>0</v>
      </c>
      <c r="F145" s="68"/>
      <c r="G145" s="145"/>
      <c r="H145" s="81" t="s">
        <v>21</v>
      </c>
      <c r="I145" s="42">
        <f>COUNTIF(I147:I161,"нет")</f>
        <v>0</v>
      </c>
      <c r="J145" s="99"/>
      <c r="K145" s="136"/>
    </row>
    <row r="146" spans="1:11" s="18" customFormat="1" x14ac:dyDescent="0.25">
      <c r="A146" s="107"/>
      <c r="B146" s="107"/>
      <c r="C146" s="2" t="s">
        <v>17</v>
      </c>
      <c r="D146" s="58">
        <v>0</v>
      </c>
      <c r="E146" s="33">
        <f t="shared" si="30"/>
        <v>0</v>
      </c>
      <c r="F146" s="68"/>
      <c r="G146" s="145"/>
      <c r="H146" s="81" t="s">
        <v>22</v>
      </c>
      <c r="I146" s="79">
        <f>I143/I142*100</f>
        <v>100</v>
      </c>
      <c r="J146" s="100"/>
      <c r="K146" s="136"/>
    </row>
    <row r="147" spans="1:11" s="18" customFormat="1" x14ac:dyDescent="0.25">
      <c r="A147" s="113" t="s">
        <v>124</v>
      </c>
      <c r="B147" s="113" t="s">
        <v>298</v>
      </c>
      <c r="C147" s="17" t="s">
        <v>13</v>
      </c>
      <c r="D147" s="58">
        <f t="shared" ref="D147" si="31">SUM(D148:D151)</f>
        <v>4126.6000000000004</v>
      </c>
      <c r="E147" s="36">
        <f>E148+E149+E150+E151</f>
        <v>4126.6000000000004</v>
      </c>
      <c r="F147" s="69">
        <f>E147/D147*100</f>
        <v>100</v>
      </c>
      <c r="G147" s="142" t="s">
        <v>280</v>
      </c>
      <c r="H147" s="142" t="s">
        <v>276</v>
      </c>
      <c r="I147" s="120" t="s">
        <v>217</v>
      </c>
      <c r="J147" s="114" t="s">
        <v>24</v>
      </c>
      <c r="K147" s="114"/>
    </row>
    <row r="148" spans="1:11" s="18" customFormat="1" x14ac:dyDescent="0.25">
      <c r="A148" s="113"/>
      <c r="B148" s="113"/>
      <c r="C148" s="17" t="s">
        <v>14</v>
      </c>
      <c r="D148" s="58">
        <f>3647.5+479.1</f>
        <v>4126.6000000000004</v>
      </c>
      <c r="E148" s="45">
        <v>4126.6000000000004</v>
      </c>
      <c r="F148" s="69">
        <f>E148/D148*100</f>
        <v>100</v>
      </c>
      <c r="G148" s="143"/>
      <c r="H148" s="143"/>
      <c r="I148" s="121"/>
      <c r="J148" s="115"/>
      <c r="K148" s="115"/>
    </row>
    <row r="149" spans="1:11" s="18" customFormat="1" x14ac:dyDescent="0.25">
      <c r="A149" s="113"/>
      <c r="B149" s="113"/>
      <c r="C149" s="17" t="s">
        <v>16</v>
      </c>
      <c r="D149" s="58">
        <v>0</v>
      </c>
      <c r="E149" s="36">
        <v>0</v>
      </c>
      <c r="F149" s="69"/>
      <c r="G149" s="143"/>
      <c r="H149" s="143"/>
      <c r="I149" s="121"/>
      <c r="J149" s="115"/>
      <c r="K149" s="115"/>
    </row>
    <row r="150" spans="1:11" s="18" customFormat="1" x14ac:dyDescent="0.25">
      <c r="A150" s="113"/>
      <c r="B150" s="113"/>
      <c r="C150" s="17" t="s">
        <v>15</v>
      </c>
      <c r="D150" s="58">
        <v>0</v>
      </c>
      <c r="E150" s="36">
        <v>0</v>
      </c>
      <c r="F150" s="69"/>
      <c r="G150" s="143"/>
      <c r="H150" s="143"/>
      <c r="I150" s="121"/>
      <c r="J150" s="115"/>
      <c r="K150" s="115"/>
    </row>
    <row r="151" spans="1:11" s="18" customFormat="1" ht="14.25" customHeight="1" x14ac:dyDescent="0.25">
      <c r="A151" s="113"/>
      <c r="B151" s="113"/>
      <c r="C151" s="17" t="s">
        <v>17</v>
      </c>
      <c r="D151" s="58">
        <v>0</v>
      </c>
      <c r="E151" s="36">
        <v>0</v>
      </c>
      <c r="F151" s="69"/>
      <c r="G151" s="144"/>
      <c r="H151" s="144"/>
      <c r="I151" s="122"/>
      <c r="J151" s="116"/>
      <c r="K151" s="116"/>
    </row>
    <row r="152" spans="1:11" s="18" customFormat="1" ht="13.9" customHeight="1" x14ac:dyDescent="0.25">
      <c r="A152" s="113" t="s">
        <v>122</v>
      </c>
      <c r="B152" s="113" t="s">
        <v>239</v>
      </c>
      <c r="C152" s="17" t="s">
        <v>13</v>
      </c>
      <c r="D152" s="58">
        <f t="shared" ref="D152" si="32">SUM(D153:D156)</f>
        <v>190</v>
      </c>
      <c r="E152" s="36">
        <f>E153+E154+E155+E156</f>
        <v>190</v>
      </c>
      <c r="F152" s="69">
        <f>E152/D152*100</f>
        <v>100</v>
      </c>
      <c r="G152" s="142" t="s">
        <v>281</v>
      </c>
      <c r="H152" s="142" t="s">
        <v>283</v>
      </c>
      <c r="I152" s="120" t="s">
        <v>217</v>
      </c>
      <c r="J152" s="114" t="s">
        <v>24</v>
      </c>
      <c r="K152" s="114"/>
    </row>
    <row r="153" spans="1:11" s="18" customFormat="1" x14ac:dyDescent="0.25">
      <c r="A153" s="113"/>
      <c r="B153" s="113"/>
      <c r="C153" s="17" t="s">
        <v>14</v>
      </c>
      <c r="D153" s="58">
        <v>190</v>
      </c>
      <c r="E153" s="45">
        <v>190</v>
      </c>
      <c r="F153" s="69">
        <f>E153/D153*100</f>
        <v>100</v>
      </c>
      <c r="G153" s="143"/>
      <c r="H153" s="143"/>
      <c r="I153" s="121"/>
      <c r="J153" s="115"/>
      <c r="K153" s="115"/>
    </row>
    <row r="154" spans="1:11" s="18" customFormat="1" x14ac:dyDescent="0.25">
      <c r="A154" s="113"/>
      <c r="B154" s="113"/>
      <c r="C154" s="17" t="s">
        <v>16</v>
      </c>
      <c r="D154" s="58">
        <v>0</v>
      </c>
      <c r="E154" s="36">
        <v>0</v>
      </c>
      <c r="F154" s="69"/>
      <c r="G154" s="143"/>
      <c r="H154" s="143"/>
      <c r="I154" s="121"/>
      <c r="J154" s="115"/>
      <c r="K154" s="115"/>
    </row>
    <row r="155" spans="1:11" s="18" customFormat="1" ht="12.75" customHeight="1" x14ac:dyDescent="0.25">
      <c r="A155" s="113"/>
      <c r="B155" s="113"/>
      <c r="C155" s="17" t="s">
        <v>15</v>
      </c>
      <c r="D155" s="58">
        <v>0</v>
      </c>
      <c r="E155" s="36">
        <v>0</v>
      </c>
      <c r="F155" s="69"/>
      <c r="G155" s="143"/>
      <c r="H155" s="143"/>
      <c r="I155" s="121"/>
      <c r="J155" s="115"/>
      <c r="K155" s="115"/>
    </row>
    <row r="156" spans="1:11" s="18" customFormat="1" x14ac:dyDescent="0.25">
      <c r="A156" s="113"/>
      <c r="B156" s="113"/>
      <c r="C156" s="17" t="s">
        <v>17</v>
      </c>
      <c r="D156" s="58">
        <v>0</v>
      </c>
      <c r="E156" s="36">
        <v>0</v>
      </c>
      <c r="F156" s="69"/>
      <c r="G156" s="144"/>
      <c r="H156" s="144"/>
      <c r="I156" s="122"/>
      <c r="J156" s="116"/>
      <c r="K156" s="116"/>
    </row>
    <row r="157" spans="1:11" s="18" customFormat="1" ht="13.9" customHeight="1" x14ac:dyDescent="0.25">
      <c r="A157" s="113" t="s">
        <v>123</v>
      </c>
      <c r="B157" s="113" t="s">
        <v>240</v>
      </c>
      <c r="C157" s="17" t="s">
        <v>13</v>
      </c>
      <c r="D157" s="58">
        <f t="shared" ref="D157" si="33">SUM(D158:D161)</f>
        <v>225</v>
      </c>
      <c r="E157" s="36">
        <f>E158+E159+E160+E161</f>
        <v>225</v>
      </c>
      <c r="F157" s="69">
        <f>E157/D157*100</f>
        <v>100</v>
      </c>
      <c r="G157" s="142" t="s">
        <v>271</v>
      </c>
      <c r="H157" s="142" t="s">
        <v>282</v>
      </c>
      <c r="I157" s="120" t="s">
        <v>217</v>
      </c>
      <c r="J157" s="114" t="s">
        <v>24</v>
      </c>
      <c r="K157" s="114"/>
    </row>
    <row r="158" spans="1:11" s="18" customFormat="1" x14ac:dyDescent="0.25">
      <c r="A158" s="113"/>
      <c r="B158" s="113"/>
      <c r="C158" s="17" t="s">
        <v>14</v>
      </c>
      <c r="D158" s="58">
        <v>225</v>
      </c>
      <c r="E158" s="45">
        <v>225</v>
      </c>
      <c r="F158" s="69">
        <f>E158/D158*100</f>
        <v>100</v>
      </c>
      <c r="G158" s="143"/>
      <c r="H158" s="143"/>
      <c r="I158" s="121"/>
      <c r="J158" s="115"/>
      <c r="K158" s="115"/>
    </row>
    <row r="159" spans="1:11" s="18" customFormat="1" x14ac:dyDescent="0.25">
      <c r="A159" s="113"/>
      <c r="B159" s="113"/>
      <c r="C159" s="17" t="s">
        <v>16</v>
      </c>
      <c r="D159" s="58">
        <v>0</v>
      </c>
      <c r="E159" s="36">
        <v>0</v>
      </c>
      <c r="F159" s="69"/>
      <c r="G159" s="143"/>
      <c r="H159" s="143"/>
      <c r="I159" s="121"/>
      <c r="J159" s="115"/>
      <c r="K159" s="115"/>
    </row>
    <row r="160" spans="1:11" s="18" customFormat="1" x14ac:dyDescent="0.25">
      <c r="A160" s="113"/>
      <c r="B160" s="113"/>
      <c r="C160" s="17" t="s">
        <v>15</v>
      </c>
      <c r="D160" s="58">
        <v>0</v>
      </c>
      <c r="E160" s="36">
        <v>0</v>
      </c>
      <c r="F160" s="69"/>
      <c r="G160" s="143"/>
      <c r="H160" s="143"/>
      <c r="I160" s="121"/>
      <c r="J160" s="115"/>
      <c r="K160" s="115"/>
    </row>
    <row r="161" spans="1:11" s="18" customFormat="1" ht="15" customHeight="1" x14ac:dyDescent="0.25">
      <c r="A161" s="113"/>
      <c r="B161" s="113"/>
      <c r="C161" s="17" t="s">
        <v>17</v>
      </c>
      <c r="D161" s="58">
        <v>0</v>
      </c>
      <c r="E161" s="36">
        <v>0</v>
      </c>
      <c r="F161" s="69"/>
      <c r="G161" s="144"/>
      <c r="H161" s="144"/>
      <c r="I161" s="122"/>
      <c r="J161" s="116"/>
      <c r="K161" s="116"/>
    </row>
    <row r="162" spans="1:11" s="18" customFormat="1" x14ac:dyDescent="0.25">
      <c r="A162" s="107" t="s">
        <v>125</v>
      </c>
      <c r="B162" s="107" t="s">
        <v>130</v>
      </c>
      <c r="C162" s="2" t="s">
        <v>13</v>
      </c>
      <c r="D162" s="60">
        <f t="shared" ref="D162" si="34">SUM(D163:D166)</f>
        <v>2813.1</v>
      </c>
      <c r="E162" s="33">
        <f>E163+E164+E165+E166</f>
        <v>2772.7529999999997</v>
      </c>
      <c r="F162" s="68">
        <f>E162/D162*100</f>
        <v>98.565745974192168</v>
      </c>
      <c r="G162" s="145"/>
      <c r="H162" s="81" t="s">
        <v>18</v>
      </c>
      <c r="I162" s="42">
        <f>COUNTA(I167:I186)</f>
        <v>4</v>
      </c>
      <c r="J162" s="98" t="s">
        <v>24</v>
      </c>
      <c r="K162" s="136"/>
    </row>
    <row r="163" spans="1:11" s="18" customFormat="1" x14ac:dyDescent="0.25">
      <c r="A163" s="107"/>
      <c r="B163" s="107"/>
      <c r="C163" s="2" t="s">
        <v>14</v>
      </c>
      <c r="D163" s="60">
        <f t="shared" ref="D163" si="35">D168+D173+D178+D183</f>
        <v>2813.1</v>
      </c>
      <c r="E163" s="33">
        <f>E168+E173+E178+E183</f>
        <v>2772.7529999999997</v>
      </c>
      <c r="F163" s="68">
        <f>E163/D163*100</f>
        <v>98.565745974192168</v>
      </c>
      <c r="G163" s="145"/>
      <c r="H163" s="81" t="s">
        <v>19</v>
      </c>
      <c r="I163" s="42">
        <f>COUNTIF(I167:I186,"да")</f>
        <v>4</v>
      </c>
      <c r="J163" s="99"/>
      <c r="K163" s="136"/>
    </row>
    <row r="164" spans="1:11" s="18" customFormat="1" x14ac:dyDescent="0.25">
      <c r="A164" s="107"/>
      <c r="B164" s="107"/>
      <c r="C164" s="2" t="s">
        <v>16</v>
      </c>
      <c r="D164" s="58">
        <v>0</v>
      </c>
      <c r="E164" s="33">
        <f t="shared" ref="E164:E166" si="36">E169+E174+E179+E184</f>
        <v>0</v>
      </c>
      <c r="F164" s="68"/>
      <c r="G164" s="145"/>
      <c r="H164" s="81" t="s">
        <v>20</v>
      </c>
      <c r="I164" s="42">
        <f>COUNTIF(I167:I186,"частично")</f>
        <v>0</v>
      </c>
      <c r="J164" s="99"/>
      <c r="K164" s="136"/>
    </row>
    <row r="165" spans="1:11" s="18" customFormat="1" x14ac:dyDescent="0.25">
      <c r="A165" s="107"/>
      <c r="B165" s="107"/>
      <c r="C165" s="2" t="s">
        <v>15</v>
      </c>
      <c r="D165" s="58">
        <v>0</v>
      </c>
      <c r="E165" s="33">
        <f t="shared" si="36"/>
        <v>0</v>
      </c>
      <c r="F165" s="68"/>
      <c r="G165" s="145"/>
      <c r="H165" s="81" t="s">
        <v>21</v>
      </c>
      <c r="I165" s="42">
        <f>COUNTIF(I167:I186,"нет")</f>
        <v>0</v>
      </c>
      <c r="J165" s="99"/>
      <c r="K165" s="136"/>
    </row>
    <row r="166" spans="1:11" s="18" customFormat="1" x14ac:dyDescent="0.25">
      <c r="A166" s="107"/>
      <c r="B166" s="107"/>
      <c r="C166" s="2" t="s">
        <v>17</v>
      </c>
      <c r="D166" s="58">
        <v>0</v>
      </c>
      <c r="E166" s="33">
        <f t="shared" si="36"/>
        <v>0</v>
      </c>
      <c r="F166" s="68"/>
      <c r="G166" s="145"/>
      <c r="H166" s="81" t="s">
        <v>22</v>
      </c>
      <c r="I166" s="79">
        <f>I163/I162*100</f>
        <v>100</v>
      </c>
      <c r="J166" s="100"/>
      <c r="K166" s="136"/>
    </row>
    <row r="167" spans="1:11" s="18" customFormat="1" x14ac:dyDescent="0.25">
      <c r="A167" s="113" t="s">
        <v>126</v>
      </c>
      <c r="B167" s="113" t="s">
        <v>131</v>
      </c>
      <c r="C167" s="17" t="s">
        <v>13</v>
      </c>
      <c r="D167" s="60">
        <f t="shared" ref="D167" si="37">D168+D169+D170+D171</f>
        <v>1979.8</v>
      </c>
      <c r="E167" s="36">
        <f>E168+E169+E170+E171</f>
        <v>1974.037</v>
      </c>
      <c r="F167" s="69">
        <f>E167/D167*100</f>
        <v>99.708909990908182</v>
      </c>
      <c r="G167" s="142" t="s">
        <v>274</v>
      </c>
      <c r="H167" s="142" t="s">
        <v>284</v>
      </c>
      <c r="I167" s="120" t="s">
        <v>217</v>
      </c>
      <c r="J167" s="114" t="s">
        <v>24</v>
      </c>
      <c r="K167" s="114"/>
    </row>
    <row r="168" spans="1:11" s="18" customFormat="1" x14ac:dyDescent="0.25">
      <c r="A168" s="113"/>
      <c r="B168" s="113"/>
      <c r="C168" s="17" t="s">
        <v>14</v>
      </c>
      <c r="D168" s="60">
        <f>2011.3-31.5</f>
        <v>1979.8</v>
      </c>
      <c r="E168" s="45">
        <v>1974.037</v>
      </c>
      <c r="F168" s="69">
        <f>E168/D168*100</f>
        <v>99.708909990908182</v>
      </c>
      <c r="G168" s="143"/>
      <c r="H168" s="143"/>
      <c r="I168" s="121"/>
      <c r="J168" s="115"/>
      <c r="K168" s="115"/>
    </row>
    <row r="169" spans="1:11" s="18" customFormat="1" x14ac:dyDescent="0.25">
      <c r="A169" s="113"/>
      <c r="B169" s="113"/>
      <c r="C169" s="17" t="s">
        <v>16</v>
      </c>
      <c r="D169" s="58">
        <v>0</v>
      </c>
      <c r="E169" s="36">
        <v>0</v>
      </c>
      <c r="F169" s="69"/>
      <c r="G169" s="143"/>
      <c r="H169" s="143"/>
      <c r="I169" s="121"/>
      <c r="J169" s="115"/>
      <c r="K169" s="115"/>
    </row>
    <row r="170" spans="1:11" s="18" customFormat="1" x14ac:dyDescent="0.25">
      <c r="A170" s="113"/>
      <c r="B170" s="113"/>
      <c r="C170" s="17" t="s">
        <v>15</v>
      </c>
      <c r="D170" s="58">
        <v>0</v>
      </c>
      <c r="E170" s="36">
        <v>0</v>
      </c>
      <c r="F170" s="69"/>
      <c r="G170" s="143"/>
      <c r="H170" s="143"/>
      <c r="I170" s="121"/>
      <c r="J170" s="115"/>
      <c r="K170" s="115"/>
    </row>
    <row r="171" spans="1:11" s="18" customFormat="1" ht="14.25" customHeight="1" x14ac:dyDescent="0.25">
      <c r="A171" s="113"/>
      <c r="B171" s="113"/>
      <c r="C171" s="17" t="s">
        <v>17</v>
      </c>
      <c r="D171" s="58">
        <v>0</v>
      </c>
      <c r="E171" s="37">
        <v>0</v>
      </c>
      <c r="F171" s="69"/>
      <c r="G171" s="144"/>
      <c r="H171" s="144"/>
      <c r="I171" s="122"/>
      <c r="J171" s="116"/>
      <c r="K171" s="116"/>
    </row>
    <row r="172" spans="1:11" s="18" customFormat="1" ht="15" customHeight="1" x14ac:dyDescent="0.25">
      <c r="A172" s="113" t="s">
        <v>127</v>
      </c>
      <c r="B172" s="113" t="s">
        <v>132</v>
      </c>
      <c r="C172" s="17" t="s">
        <v>13</v>
      </c>
      <c r="D172" s="60">
        <f t="shared" ref="D172" si="38">D173+D174+D175+D176</f>
        <v>448.3</v>
      </c>
      <c r="E172" s="36">
        <f>E173+E174+E175+E176</f>
        <v>448.26600000000002</v>
      </c>
      <c r="F172" s="69">
        <f>E172/D172*100</f>
        <v>99.992415792995757</v>
      </c>
      <c r="G172" s="142" t="s">
        <v>222</v>
      </c>
      <c r="H172" s="142" t="s">
        <v>285</v>
      </c>
      <c r="I172" s="120" t="s">
        <v>217</v>
      </c>
      <c r="J172" s="114" t="s">
        <v>24</v>
      </c>
      <c r="K172" s="114"/>
    </row>
    <row r="173" spans="1:11" s="18" customFormat="1" x14ac:dyDescent="0.25">
      <c r="A173" s="113"/>
      <c r="B173" s="113"/>
      <c r="C173" s="17" t="s">
        <v>14</v>
      </c>
      <c r="D173" s="60">
        <f>482.7-34.4</f>
        <v>448.3</v>
      </c>
      <c r="E173" s="45">
        <v>448.26600000000002</v>
      </c>
      <c r="F173" s="69">
        <f>E173/D173*100</f>
        <v>99.992415792995757</v>
      </c>
      <c r="G173" s="143"/>
      <c r="H173" s="143"/>
      <c r="I173" s="121"/>
      <c r="J173" s="115"/>
      <c r="K173" s="115"/>
    </row>
    <row r="174" spans="1:11" s="18" customFormat="1" x14ac:dyDescent="0.25">
      <c r="A174" s="113"/>
      <c r="B174" s="113"/>
      <c r="C174" s="17" t="s">
        <v>16</v>
      </c>
      <c r="D174" s="58">
        <v>0</v>
      </c>
      <c r="E174" s="36">
        <v>0</v>
      </c>
      <c r="F174" s="69"/>
      <c r="G174" s="143"/>
      <c r="H174" s="143"/>
      <c r="I174" s="121"/>
      <c r="J174" s="115"/>
      <c r="K174" s="115"/>
    </row>
    <row r="175" spans="1:11" s="18" customFormat="1" x14ac:dyDescent="0.25">
      <c r="A175" s="113"/>
      <c r="B175" s="113"/>
      <c r="C175" s="17" t="s">
        <v>15</v>
      </c>
      <c r="D175" s="58">
        <v>0</v>
      </c>
      <c r="E175" s="36">
        <v>0</v>
      </c>
      <c r="F175" s="69"/>
      <c r="G175" s="143"/>
      <c r="H175" s="143"/>
      <c r="I175" s="121"/>
      <c r="J175" s="115"/>
      <c r="K175" s="115"/>
    </row>
    <row r="176" spans="1:11" s="18" customFormat="1" ht="39" customHeight="1" x14ac:dyDescent="0.25">
      <c r="A176" s="113"/>
      <c r="B176" s="113"/>
      <c r="C176" s="17" t="s">
        <v>17</v>
      </c>
      <c r="D176" s="58">
        <v>0</v>
      </c>
      <c r="E176" s="37">
        <v>0</v>
      </c>
      <c r="F176" s="69"/>
      <c r="G176" s="144"/>
      <c r="H176" s="144"/>
      <c r="I176" s="122"/>
      <c r="J176" s="116"/>
      <c r="K176" s="116"/>
    </row>
    <row r="177" spans="1:11" s="18" customFormat="1" x14ac:dyDescent="0.25">
      <c r="A177" s="113" t="s">
        <v>128</v>
      </c>
      <c r="B177" s="113" t="s">
        <v>133</v>
      </c>
      <c r="C177" s="17" t="s">
        <v>13</v>
      </c>
      <c r="D177" s="60">
        <f t="shared" ref="D177" si="39">D178+D179+D180+D181</f>
        <v>300</v>
      </c>
      <c r="E177" s="36">
        <f>E178+E179+E180+E181</f>
        <v>290.45</v>
      </c>
      <c r="F177" s="69">
        <f>E177/D177*100</f>
        <v>96.816666666666663</v>
      </c>
      <c r="G177" s="142" t="s">
        <v>223</v>
      </c>
      <c r="H177" s="142" t="s">
        <v>286</v>
      </c>
      <c r="I177" s="120" t="s">
        <v>217</v>
      </c>
      <c r="J177" s="114" t="s">
        <v>24</v>
      </c>
      <c r="K177" s="114"/>
    </row>
    <row r="178" spans="1:11" s="18" customFormat="1" x14ac:dyDescent="0.25">
      <c r="A178" s="113"/>
      <c r="B178" s="113"/>
      <c r="C178" s="17" t="s">
        <v>14</v>
      </c>
      <c r="D178" s="60">
        <f>318.2-18.2</f>
        <v>300</v>
      </c>
      <c r="E178" s="45">
        <v>290.45</v>
      </c>
      <c r="F178" s="69">
        <f>E178/D178*100</f>
        <v>96.816666666666663</v>
      </c>
      <c r="G178" s="143"/>
      <c r="H178" s="143"/>
      <c r="I178" s="121"/>
      <c r="J178" s="115"/>
      <c r="K178" s="115"/>
    </row>
    <row r="179" spans="1:11" s="18" customFormat="1" x14ac:dyDescent="0.25">
      <c r="A179" s="113"/>
      <c r="B179" s="113"/>
      <c r="C179" s="17" t="s">
        <v>16</v>
      </c>
      <c r="D179" s="58">
        <v>0</v>
      </c>
      <c r="E179" s="36">
        <v>0</v>
      </c>
      <c r="F179" s="69"/>
      <c r="G179" s="143"/>
      <c r="H179" s="143"/>
      <c r="I179" s="121"/>
      <c r="J179" s="115"/>
      <c r="K179" s="115"/>
    </row>
    <row r="180" spans="1:11" s="18" customFormat="1" ht="14.25" customHeight="1" x14ac:dyDescent="0.25">
      <c r="A180" s="113"/>
      <c r="B180" s="113"/>
      <c r="C180" s="17" t="s">
        <v>15</v>
      </c>
      <c r="D180" s="58">
        <v>0</v>
      </c>
      <c r="E180" s="36">
        <v>0</v>
      </c>
      <c r="F180" s="69"/>
      <c r="G180" s="143"/>
      <c r="H180" s="143"/>
      <c r="I180" s="121"/>
      <c r="J180" s="115"/>
      <c r="K180" s="115"/>
    </row>
    <row r="181" spans="1:11" s="18" customFormat="1" ht="24" customHeight="1" x14ac:dyDescent="0.25">
      <c r="A181" s="113"/>
      <c r="B181" s="113"/>
      <c r="C181" s="17" t="s">
        <v>17</v>
      </c>
      <c r="D181" s="58">
        <v>0</v>
      </c>
      <c r="E181" s="37">
        <v>0</v>
      </c>
      <c r="F181" s="69"/>
      <c r="G181" s="144"/>
      <c r="H181" s="144"/>
      <c r="I181" s="122"/>
      <c r="J181" s="116"/>
      <c r="K181" s="116"/>
    </row>
    <row r="182" spans="1:11" s="18" customFormat="1" x14ac:dyDescent="0.25">
      <c r="A182" s="113" t="s">
        <v>129</v>
      </c>
      <c r="B182" s="113" t="s">
        <v>134</v>
      </c>
      <c r="C182" s="17" t="s">
        <v>13</v>
      </c>
      <c r="D182" s="60">
        <f t="shared" ref="D182" si="40">D183+D184+D185+D186</f>
        <v>85</v>
      </c>
      <c r="E182" s="36">
        <f>E183+E184+E185+E186</f>
        <v>60</v>
      </c>
      <c r="F182" s="69">
        <f>E182/D182*100</f>
        <v>70.588235294117652</v>
      </c>
      <c r="G182" s="142" t="s">
        <v>224</v>
      </c>
      <c r="H182" s="142" t="s">
        <v>277</v>
      </c>
      <c r="I182" s="120" t="s">
        <v>217</v>
      </c>
      <c r="J182" s="114" t="s">
        <v>24</v>
      </c>
      <c r="K182" s="114" t="s">
        <v>227</v>
      </c>
    </row>
    <row r="183" spans="1:11" s="18" customFormat="1" x14ac:dyDescent="0.25">
      <c r="A183" s="113"/>
      <c r="B183" s="113"/>
      <c r="C183" s="17" t="s">
        <v>14</v>
      </c>
      <c r="D183" s="60">
        <v>85</v>
      </c>
      <c r="E183" s="45">
        <v>60</v>
      </c>
      <c r="F183" s="69">
        <f>E183/D183*100</f>
        <v>70.588235294117652</v>
      </c>
      <c r="G183" s="143"/>
      <c r="H183" s="143"/>
      <c r="I183" s="121"/>
      <c r="J183" s="115"/>
      <c r="K183" s="115"/>
    </row>
    <row r="184" spans="1:11" s="18" customFormat="1" x14ac:dyDescent="0.25">
      <c r="A184" s="113"/>
      <c r="B184" s="113"/>
      <c r="C184" s="17" t="s">
        <v>16</v>
      </c>
      <c r="D184" s="58">
        <v>0</v>
      </c>
      <c r="E184" s="36">
        <v>0</v>
      </c>
      <c r="F184" s="69"/>
      <c r="G184" s="143"/>
      <c r="H184" s="143"/>
      <c r="I184" s="121"/>
      <c r="J184" s="115"/>
      <c r="K184" s="115"/>
    </row>
    <row r="185" spans="1:11" s="18" customFormat="1" x14ac:dyDescent="0.25">
      <c r="A185" s="113"/>
      <c r="B185" s="113"/>
      <c r="C185" s="17" t="s">
        <v>15</v>
      </c>
      <c r="D185" s="58">
        <v>0</v>
      </c>
      <c r="E185" s="36">
        <v>0</v>
      </c>
      <c r="F185" s="69"/>
      <c r="G185" s="143"/>
      <c r="H185" s="143"/>
      <c r="I185" s="121"/>
      <c r="J185" s="115"/>
      <c r="K185" s="115"/>
    </row>
    <row r="186" spans="1:11" s="18" customFormat="1" ht="12.75" customHeight="1" x14ac:dyDescent="0.25">
      <c r="A186" s="113"/>
      <c r="B186" s="113"/>
      <c r="C186" s="17" t="s">
        <v>17</v>
      </c>
      <c r="D186" s="58">
        <v>0</v>
      </c>
      <c r="E186" s="37">
        <v>0</v>
      </c>
      <c r="F186" s="69"/>
      <c r="G186" s="144"/>
      <c r="H186" s="144"/>
      <c r="I186" s="122"/>
      <c r="J186" s="116"/>
      <c r="K186" s="116"/>
    </row>
    <row r="187" spans="1:11" s="18" customFormat="1" x14ac:dyDescent="0.25">
      <c r="A187" s="107" t="s">
        <v>135</v>
      </c>
      <c r="B187" s="107" t="s">
        <v>137</v>
      </c>
      <c r="C187" s="2" t="s">
        <v>13</v>
      </c>
      <c r="D187" s="59">
        <f t="shared" ref="D187" si="41">SUM(D188:D191)</f>
        <v>17064.5</v>
      </c>
      <c r="E187" s="33">
        <f>E188+E189+E190+E191</f>
        <v>15294.76</v>
      </c>
      <c r="F187" s="68">
        <f>E187/D187*100</f>
        <v>89.629113070995345</v>
      </c>
      <c r="G187" s="145"/>
      <c r="H187" s="81" t="s">
        <v>18</v>
      </c>
      <c r="I187" s="42">
        <f>COUNTA(I192)</f>
        <v>1</v>
      </c>
      <c r="J187" s="98" t="s">
        <v>24</v>
      </c>
      <c r="K187" s="136"/>
    </row>
    <row r="188" spans="1:11" s="18" customFormat="1" x14ac:dyDescent="0.25">
      <c r="A188" s="107"/>
      <c r="B188" s="107"/>
      <c r="C188" s="2" t="s">
        <v>14</v>
      </c>
      <c r="D188" s="59">
        <v>0</v>
      </c>
      <c r="E188" s="33">
        <f>E193</f>
        <v>0</v>
      </c>
      <c r="F188" s="68"/>
      <c r="G188" s="145"/>
      <c r="H188" s="81" t="s">
        <v>19</v>
      </c>
      <c r="I188" s="42">
        <f>COUNTIF(I192,"да")</f>
        <v>1</v>
      </c>
      <c r="J188" s="99"/>
      <c r="K188" s="136"/>
    </row>
    <row r="189" spans="1:11" s="18" customFormat="1" x14ac:dyDescent="0.25">
      <c r="A189" s="107"/>
      <c r="B189" s="107"/>
      <c r="C189" s="2" t="s">
        <v>16</v>
      </c>
      <c r="D189" s="58">
        <f t="shared" ref="D189:E191" si="42">D194</f>
        <v>17064.5</v>
      </c>
      <c r="E189" s="33">
        <f t="shared" si="42"/>
        <v>15294.76</v>
      </c>
      <c r="F189" s="68">
        <f>E189/D189*100</f>
        <v>89.629113070995345</v>
      </c>
      <c r="G189" s="145"/>
      <c r="H189" s="81" t="s">
        <v>20</v>
      </c>
      <c r="I189" s="42">
        <f>COUNTIF(I192,"частично")</f>
        <v>0</v>
      </c>
      <c r="J189" s="99"/>
      <c r="K189" s="136"/>
    </row>
    <row r="190" spans="1:11" s="18" customFormat="1" x14ac:dyDescent="0.25">
      <c r="A190" s="107"/>
      <c r="B190" s="107"/>
      <c r="C190" s="2" t="s">
        <v>15</v>
      </c>
      <c r="D190" s="58">
        <v>0</v>
      </c>
      <c r="E190" s="33">
        <f t="shared" si="42"/>
        <v>0</v>
      </c>
      <c r="F190" s="68"/>
      <c r="G190" s="145"/>
      <c r="H190" s="81" t="s">
        <v>21</v>
      </c>
      <c r="I190" s="42">
        <f>COUNTIF(I192,"нет")</f>
        <v>0</v>
      </c>
      <c r="J190" s="99"/>
      <c r="K190" s="136"/>
    </row>
    <row r="191" spans="1:11" s="18" customFormat="1" x14ac:dyDescent="0.25">
      <c r="A191" s="107"/>
      <c r="B191" s="107"/>
      <c r="C191" s="2" t="s">
        <v>17</v>
      </c>
      <c r="D191" s="58">
        <v>0</v>
      </c>
      <c r="E191" s="33">
        <f t="shared" si="42"/>
        <v>0</v>
      </c>
      <c r="F191" s="68"/>
      <c r="G191" s="145"/>
      <c r="H191" s="81" t="s">
        <v>22</v>
      </c>
      <c r="I191" s="79">
        <f>I188/I187*100</f>
        <v>100</v>
      </c>
      <c r="J191" s="100"/>
      <c r="K191" s="136"/>
    </row>
    <row r="192" spans="1:11" s="18" customFormat="1" ht="15" customHeight="1" x14ac:dyDescent="0.25">
      <c r="A192" s="113" t="s">
        <v>136</v>
      </c>
      <c r="B192" s="113" t="s">
        <v>138</v>
      </c>
      <c r="C192" s="17" t="s">
        <v>13</v>
      </c>
      <c r="D192" s="59">
        <f t="shared" ref="D192" si="43">SUM(D193:D196)</f>
        <v>17064.5</v>
      </c>
      <c r="E192" s="36">
        <f>E193+E194+E195+E196</f>
        <v>15294.76</v>
      </c>
      <c r="F192" s="69">
        <f>E192/D192*100</f>
        <v>89.629113070995345</v>
      </c>
      <c r="G192" s="142" t="s">
        <v>275</v>
      </c>
      <c r="H192" s="142" t="s">
        <v>287</v>
      </c>
      <c r="I192" s="120" t="s">
        <v>217</v>
      </c>
      <c r="J192" s="114" t="s">
        <v>24</v>
      </c>
      <c r="K192" s="114"/>
    </row>
    <row r="193" spans="1:11" s="18" customFormat="1" x14ac:dyDescent="0.25">
      <c r="A193" s="113"/>
      <c r="B193" s="113"/>
      <c r="C193" s="17" t="s">
        <v>14</v>
      </c>
      <c r="D193" s="59">
        <v>0</v>
      </c>
      <c r="E193" s="36">
        <v>0</v>
      </c>
      <c r="F193" s="69"/>
      <c r="G193" s="143"/>
      <c r="H193" s="143"/>
      <c r="I193" s="121"/>
      <c r="J193" s="115"/>
      <c r="K193" s="115"/>
    </row>
    <row r="194" spans="1:11" s="18" customFormat="1" x14ac:dyDescent="0.25">
      <c r="A194" s="113"/>
      <c r="B194" s="113"/>
      <c r="C194" s="17" t="s">
        <v>16</v>
      </c>
      <c r="D194" s="58">
        <v>17064.5</v>
      </c>
      <c r="E194" s="45">
        <v>15294.76</v>
      </c>
      <c r="F194" s="69">
        <f>E194/D194*100</f>
        <v>89.629113070995345</v>
      </c>
      <c r="G194" s="143"/>
      <c r="H194" s="143"/>
      <c r="I194" s="121"/>
      <c r="J194" s="115"/>
      <c r="K194" s="115"/>
    </row>
    <row r="195" spans="1:11" s="18" customFormat="1" x14ac:dyDescent="0.25">
      <c r="A195" s="113"/>
      <c r="B195" s="113"/>
      <c r="C195" s="17" t="s">
        <v>15</v>
      </c>
      <c r="D195" s="58">
        <v>0</v>
      </c>
      <c r="E195" s="36">
        <v>0</v>
      </c>
      <c r="F195" s="69"/>
      <c r="G195" s="143"/>
      <c r="H195" s="143"/>
      <c r="I195" s="121"/>
      <c r="J195" s="115"/>
      <c r="K195" s="115"/>
    </row>
    <row r="196" spans="1:11" s="18" customFormat="1" ht="39" customHeight="1" x14ac:dyDescent="0.25">
      <c r="A196" s="113"/>
      <c r="B196" s="113"/>
      <c r="C196" s="17" t="s">
        <v>17</v>
      </c>
      <c r="D196" s="58">
        <v>0</v>
      </c>
      <c r="E196" s="37">
        <v>0</v>
      </c>
      <c r="F196" s="69"/>
      <c r="G196" s="144"/>
      <c r="H196" s="144"/>
      <c r="I196" s="122"/>
      <c r="J196" s="116"/>
      <c r="K196" s="116"/>
    </row>
    <row r="197" spans="1:11" s="18" customFormat="1" x14ac:dyDescent="0.25">
      <c r="A197" s="107" t="s">
        <v>139</v>
      </c>
      <c r="B197" s="107" t="s">
        <v>143</v>
      </c>
      <c r="C197" s="2" t="s">
        <v>13</v>
      </c>
      <c r="D197" s="47">
        <f>SUM(D198:D201)</f>
        <v>8.6</v>
      </c>
      <c r="E197" s="33">
        <f>E198+E199+E200+E201</f>
        <v>6.04</v>
      </c>
      <c r="F197" s="68">
        <f>E197/D197*100</f>
        <v>70.232558139534888</v>
      </c>
      <c r="G197" s="136"/>
      <c r="H197" s="73" t="s">
        <v>18</v>
      </c>
      <c r="I197" s="42">
        <f>COUNTA(I202)</f>
        <v>1</v>
      </c>
      <c r="J197" s="98" t="s">
        <v>93</v>
      </c>
      <c r="K197" s="136"/>
    </row>
    <row r="198" spans="1:11" s="18" customFormat="1" x14ac:dyDescent="0.25">
      <c r="A198" s="107"/>
      <c r="B198" s="107"/>
      <c r="C198" s="2" t="s">
        <v>14</v>
      </c>
      <c r="D198" s="47">
        <f t="shared" ref="D198:E201" si="44">D203</f>
        <v>8.6</v>
      </c>
      <c r="E198" s="33">
        <f t="shared" si="44"/>
        <v>6.04</v>
      </c>
      <c r="F198" s="68">
        <f>E198/D198*100</f>
        <v>70.232558139534888</v>
      </c>
      <c r="G198" s="136"/>
      <c r="H198" s="73" t="s">
        <v>19</v>
      </c>
      <c r="I198" s="42">
        <f>COUNTIF(I202,"да")</f>
        <v>1</v>
      </c>
      <c r="J198" s="99"/>
      <c r="K198" s="136"/>
    </row>
    <row r="199" spans="1:11" s="18" customFormat="1" x14ac:dyDescent="0.25">
      <c r="A199" s="107"/>
      <c r="B199" s="107"/>
      <c r="C199" s="2" t="s">
        <v>16</v>
      </c>
      <c r="D199" s="47">
        <v>0</v>
      </c>
      <c r="E199" s="33">
        <f t="shared" si="44"/>
        <v>0</v>
      </c>
      <c r="F199" s="68"/>
      <c r="G199" s="136"/>
      <c r="H199" s="73" t="s">
        <v>20</v>
      </c>
      <c r="I199" s="42">
        <f>COUNTIF(I202,"частично")</f>
        <v>0</v>
      </c>
      <c r="J199" s="99"/>
      <c r="K199" s="136"/>
    </row>
    <row r="200" spans="1:11" s="18" customFormat="1" x14ac:dyDescent="0.25">
      <c r="A200" s="107"/>
      <c r="B200" s="107"/>
      <c r="C200" s="2" t="s">
        <v>15</v>
      </c>
      <c r="D200" s="47">
        <v>0</v>
      </c>
      <c r="E200" s="33">
        <f t="shared" si="44"/>
        <v>0</v>
      </c>
      <c r="F200" s="68"/>
      <c r="G200" s="136"/>
      <c r="H200" s="73" t="s">
        <v>21</v>
      </c>
      <c r="I200" s="42">
        <f>COUNTIF(I202,"нет")</f>
        <v>0</v>
      </c>
      <c r="J200" s="99"/>
      <c r="K200" s="136"/>
    </row>
    <row r="201" spans="1:11" s="18" customFormat="1" ht="70.5" customHeight="1" x14ac:dyDescent="0.25">
      <c r="A201" s="107"/>
      <c r="B201" s="107"/>
      <c r="C201" s="2" t="s">
        <v>17</v>
      </c>
      <c r="D201" s="58">
        <v>0</v>
      </c>
      <c r="E201" s="38">
        <f t="shared" si="44"/>
        <v>0</v>
      </c>
      <c r="F201" s="68"/>
      <c r="G201" s="136"/>
      <c r="H201" s="73" t="s">
        <v>22</v>
      </c>
      <c r="I201" s="79">
        <f>I198/I197*100</f>
        <v>100</v>
      </c>
      <c r="J201" s="100"/>
      <c r="K201" s="136"/>
    </row>
    <row r="202" spans="1:11" s="18" customFormat="1" ht="15" customHeight="1" x14ac:dyDescent="0.25">
      <c r="A202" s="113" t="s">
        <v>140</v>
      </c>
      <c r="B202" s="113" t="s">
        <v>144</v>
      </c>
      <c r="C202" s="17" t="s">
        <v>13</v>
      </c>
      <c r="D202" s="61">
        <f t="shared" ref="D202" si="45">SUM(D203:D206)</f>
        <v>8.6</v>
      </c>
      <c r="E202" s="36">
        <f>E203+E204+E205+E206</f>
        <v>6.04</v>
      </c>
      <c r="F202" s="69">
        <f>E202/D202*100</f>
        <v>70.232558139534888</v>
      </c>
      <c r="G202" s="146" t="s">
        <v>257</v>
      </c>
      <c r="H202" s="146" t="s">
        <v>288</v>
      </c>
      <c r="I202" s="120" t="s">
        <v>217</v>
      </c>
      <c r="J202" s="114" t="s">
        <v>93</v>
      </c>
      <c r="K202" s="114" t="s">
        <v>256</v>
      </c>
    </row>
    <row r="203" spans="1:11" s="18" customFormat="1" x14ac:dyDescent="0.25">
      <c r="A203" s="113"/>
      <c r="B203" s="113"/>
      <c r="C203" s="17" t="s">
        <v>14</v>
      </c>
      <c r="D203" s="47">
        <v>8.6</v>
      </c>
      <c r="E203" s="36">
        <v>6.04</v>
      </c>
      <c r="F203" s="69">
        <f>E203/D203*100</f>
        <v>70.232558139534888</v>
      </c>
      <c r="G203" s="147"/>
      <c r="H203" s="147"/>
      <c r="I203" s="121"/>
      <c r="J203" s="115"/>
      <c r="K203" s="115"/>
    </row>
    <row r="204" spans="1:11" s="18" customFormat="1" x14ac:dyDescent="0.25">
      <c r="A204" s="113"/>
      <c r="B204" s="113"/>
      <c r="C204" s="17" t="s">
        <v>16</v>
      </c>
      <c r="D204" s="57">
        <v>0</v>
      </c>
      <c r="E204" s="36">
        <v>0</v>
      </c>
      <c r="F204" s="69"/>
      <c r="G204" s="147"/>
      <c r="H204" s="147"/>
      <c r="I204" s="121"/>
      <c r="J204" s="115"/>
      <c r="K204" s="115"/>
    </row>
    <row r="205" spans="1:11" s="18" customFormat="1" x14ac:dyDescent="0.25">
      <c r="A205" s="113"/>
      <c r="B205" s="113"/>
      <c r="C205" s="17" t="s">
        <v>15</v>
      </c>
      <c r="D205" s="47">
        <v>0</v>
      </c>
      <c r="E205" s="36">
        <v>0</v>
      </c>
      <c r="F205" s="69"/>
      <c r="G205" s="147"/>
      <c r="H205" s="147"/>
      <c r="I205" s="121"/>
      <c r="J205" s="115"/>
      <c r="K205" s="115"/>
    </row>
    <row r="206" spans="1:11" s="18" customFormat="1" ht="108.75" customHeight="1" x14ac:dyDescent="0.25">
      <c r="A206" s="113"/>
      <c r="B206" s="113"/>
      <c r="C206" s="17" t="s">
        <v>17</v>
      </c>
      <c r="D206" s="58">
        <v>0</v>
      </c>
      <c r="E206" s="37">
        <v>0</v>
      </c>
      <c r="F206" s="69"/>
      <c r="G206" s="148"/>
      <c r="H206" s="148"/>
      <c r="I206" s="122"/>
      <c r="J206" s="116"/>
      <c r="K206" s="116"/>
    </row>
    <row r="207" spans="1:11" s="18" customFormat="1" x14ac:dyDescent="0.25">
      <c r="A207" s="107" t="s">
        <v>141</v>
      </c>
      <c r="B207" s="107" t="s">
        <v>292</v>
      </c>
      <c r="C207" s="2" t="s">
        <v>13</v>
      </c>
      <c r="D207" s="47">
        <f t="shared" ref="D207" si="46">SUM(D208:D211)</f>
        <v>3462.3</v>
      </c>
      <c r="E207" s="33">
        <f>E208+E209+E210+E211</f>
        <v>3089.63</v>
      </c>
      <c r="F207" s="68">
        <f>E207/D207*100</f>
        <v>89.236345781705808</v>
      </c>
      <c r="G207" s="136"/>
      <c r="H207" s="73" t="s">
        <v>18</v>
      </c>
      <c r="I207" s="42">
        <f>COUNTA(I212)</f>
        <v>1</v>
      </c>
      <c r="J207" s="98" t="s">
        <v>93</v>
      </c>
      <c r="K207" s="136"/>
    </row>
    <row r="208" spans="1:11" s="18" customFormat="1" x14ac:dyDescent="0.25">
      <c r="A208" s="107"/>
      <c r="B208" s="107"/>
      <c r="C208" s="2" t="s">
        <v>14</v>
      </c>
      <c r="D208" s="47">
        <f t="shared" ref="D208" si="47">-D213</f>
        <v>0</v>
      </c>
      <c r="E208" s="33">
        <f t="shared" ref="E208:E211" si="48">E213</f>
        <v>0</v>
      </c>
      <c r="F208" s="68"/>
      <c r="G208" s="136"/>
      <c r="H208" s="73" t="s">
        <v>19</v>
      </c>
      <c r="I208" s="42">
        <f>COUNTIF(I212,"да")</f>
        <v>1</v>
      </c>
      <c r="J208" s="99"/>
      <c r="K208" s="136"/>
    </row>
    <row r="209" spans="1:11" s="18" customFormat="1" x14ac:dyDescent="0.25">
      <c r="A209" s="107"/>
      <c r="B209" s="107"/>
      <c r="C209" s="2" t="s">
        <v>16</v>
      </c>
      <c r="D209" s="47">
        <f t="shared" ref="D209" si="49">D214</f>
        <v>3462.3</v>
      </c>
      <c r="E209" s="33">
        <f t="shared" si="48"/>
        <v>3089.63</v>
      </c>
      <c r="F209" s="68">
        <f>E209/D209*100</f>
        <v>89.236345781705808</v>
      </c>
      <c r="G209" s="136"/>
      <c r="H209" s="73" t="s">
        <v>20</v>
      </c>
      <c r="I209" s="42">
        <f>COUNTIF(I212,"частично")</f>
        <v>0</v>
      </c>
      <c r="J209" s="99"/>
      <c r="K209" s="136"/>
    </row>
    <row r="210" spans="1:11" s="18" customFormat="1" x14ac:dyDescent="0.25">
      <c r="A210" s="107"/>
      <c r="B210" s="107"/>
      <c r="C210" s="2" t="s">
        <v>15</v>
      </c>
      <c r="D210" s="47">
        <v>0</v>
      </c>
      <c r="E210" s="33">
        <f t="shared" si="48"/>
        <v>0</v>
      </c>
      <c r="F210" s="68"/>
      <c r="G210" s="136"/>
      <c r="H210" s="73" t="s">
        <v>21</v>
      </c>
      <c r="I210" s="42">
        <f>COUNTIF(I212,"нет")</f>
        <v>0</v>
      </c>
      <c r="J210" s="99"/>
      <c r="K210" s="136"/>
    </row>
    <row r="211" spans="1:11" s="18" customFormat="1" ht="51" customHeight="1" x14ac:dyDescent="0.25">
      <c r="A211" s="107"/>
      <c r="B211" s="107"/>
      <c r="C211" s="2" t="s">
        <v>17</v>
      </c>
      <c r="D211" s="58">
        <v>0</v>
      </c>
      <c r="E211" s="38">
        <f t="shared" si="48"/>
        <v>0</v>
      </c>
      <c r="F211" s="68"/>
      <c r="G211" s="136"/>
      <c r="H211" s="73" t="s">
        <v>22</v>
      </c>
      <c r="I211" s="79">
        <f>I208/I207*100</f>
        <v>100</v>
      </c>
      <c r="J211" s="100"/>
      <c r="K211" s="136"/>
    </row>
    <row r="212" spans="1:11" s="18" customFormat="1" x14ac:dyDescent="0.25">
      <c r="A212" s="113" t="s">
        <v>142</v>
      </c>
      <c r="B212" s="113" t="s">
        <v>293</v>
      </c>
      <c r="C212" s="17" t="s">
        <v>13</v>
      </c>
      <c r="D212" s="47">
        <f t="shared" ref="D212" si="50">SUM(D213:D216)</f>
        <v>3462.3</v>
      </c>
      <c r="E212" s="36">
        <f>E213+E214+E215+E216</f>
        <v>3089.63</v>
      </c>
      <c r="F212" s="69">
        <f>E212/D212*100</f>
        <v>89.236345781705808</v>
      </c>
      <c r="G212" s="146" t="s">
        <v>258</v>
      </c>
      <c r="H212" s="146" t="s">
        <v>289</v>
      </c>
      <c r="I212" s="120" t="s">
        <v>217</v>
      </c>
      <c r="J212" s="114" t="s">
        <v>93</v>
      </c>
      <c r="K212" s="114" t="s">
        <v>256</v>
      </c>
    </row>
    <row r="213" spans="1:11" s="18" customFormat="1" x14ac:dyDescent="0.25">
      <c r="A213" s="113"/>
      <c r="B213" s="113"/>
      <c r="C213" s="17" t="s">
        <v>14</v>
      </c>
      <c r="D213" s="47">
        <v>0</v>
      </c>
      <c r="E213" s="36">
        <v>0</v>
      </c>
      <c r="F213" s="69"/>
      <c r="G213" s="147"/>
      <c r="H213" s="147"/>
      <c r="I213" s="121"/>
      <c r="J213" s="115"/>
      <c r="K213" s="115"/>
    </row>
    <row r="214" spans="1:11" s="18" customFormat="1" x14ac:dyDescent="0.25">
      <c r="A214" s="113"/>
      <c r="B214" s="113"/>
      <c r="C214" s="17" t="s">
        <v>16</v>
      </c>
      <c r="D214" s="47">
        <v>3462.3</v>
      </c>
      <c r="E214" s="36">
        <v>3089.63</v>
      </c>
      <c r="F214" s="69">
        <f>E214/D214*100</f>
        <v>89.236345781705808</v>
      </c>
      <c r="G214" s="147"/>
      <c r="H214" s="147"/>
      <c r="I214" s="121"/>
      <c r="J214" s="115"/>
      <c r="K214" s="115"/>
    </row>
    <row r="215" spans="1:11" s="18" customFormat="1" x14ac:dyDescent="0.25">
      <c r="A215" s="113"/>
      <c r="B215" s="113"/>
      <c r="C215" s="17" t="s">
        <v>15</v>
      </c>
      <c r="D215" s="57">
        <v>0</v>
      </c>
      <c r="E215" s="36">
        <v>0</v>
      </c>
      <c r="F215" s="69"/>
      <c r="G215" s="147"/>
      <c r="H215" s="147"/>
      <c r="I215" s="121"/>
      <c r="J215" s="115"/>
      <c r="K215" s="115"/>
    </row>
    <row r="216" spans="1:11" s="18" customFormat="1" ht="75" customHeight="1" x14ac:dyDescent="0.25">
      <c r="A216" s="113"/>
      <c r="B216" s="113"/>
      <c r="C216" s="17" t="s">
        <v>17</v>
      </c>
      <c r="D216" s="58">
        <v>0</v>
      </c>
      <c r="E216" s="37">
        <v>0</v>
      </c>
      <c r="F216" s="69"/>
      <c r="G216" s="148"/>
      <c r="H216" s="148"/>
      <c r="I216" s="122"/>
      <c r="J216" s="116"/>
      <c r="K216" s="116"/>
    </row>
    <row r="217" spans="1:11" s="18" customFormat="1" x14ac:dyDescent="0.25">
      <c r="A217" s="107" t="s">
        <v>145</v>
      </c>
      <c r="B217" s="107" t="s">
        <v>147</v>
      </c>
      <c r="C217" s="2" t="s">
        <v>13</v>
      </c>
      <c r="D217" s="59">
        <f t="shared" ref="D217" si="51">SUM(D218:D221)</f>
        <v>1252.8</v>
      </c>
      <c r="E217" s="33">
        <f>E218+E219+E220+E221</f>
        <v>636.03</v>
      </c>
      <c r="F217" s="155">
        <f>E217/D217*100</f>
        <v>50.768678160919542</v>
      </c>
      <c r="G217" s="136"/>
      <c r="H217" s="73" t="s">
        <v>18</v>
      </c>
      <c r="I217" s="42">
        <f>COUNTA(I222)</f>
        <v>1</v>
      </c>
      <c r="J217" s="98" t="s">
        <v>92</v>
      </c>
      <c r="K217" s="136"/>
    </row>
    <row r="218" spans="1:11" s="18" customFormat="1" x14ac:dyDescent="0.25">
      <c r="A218" s="107"/>
      <c r="B218" s="107"/>
      <c r="C218" s="2" t="s">
        <v>14</v>
      </c>
      <c r="D218" s="59">
        <v>0</v>
      </c>
      <c r="E218" s="33">
        <f t="shared" ref="E218:E221" si="52">E223</f>
        <v>0</v>
      </c>
      <c r="F218" s="155"/>
      <c r="G218" s="136"/>
      <c r="H218" s="73" t="s">
        <v>19</v>
      </c>
      <c r="I218" s="42">
        <f>COUNTIF(I222,"да")</f>
        <v>1</v>
      </c>
      <c r="J218" s="99"/>
      <c r="K218" s="136"/>
    </row>
    <row r="219" spans="1:11" s="18" customFormat="1" x14ac:dyDescent="0.25">
      <c r="A219" s="107"/>
      <c r="B219" s="107"/>
      <c r="C219" s="2" t="s">
        <v>16</v>
      </c>
      <c r="D219" s="59">
        <f t="shared" ref="D219" si="53">D224</f>
        <v>1252.8</v>
      </c>
      <c r="E219" s="33">
        <f t="shared" si="52"/>
        <v>636.03</v>
      </c>
      <c r="F219" s="155">
        <f>E219/D219*100</f>
        <v>50.768678160919542</v>
      </c>
      <c r="G219" s="136"/>
      <c r="H219" s="73" t="s">
        <v>20</v>
      </c>
      <c r="I219" s="42">
        <f>COUNTIF(I222,"частично")</f>
        <v>0</v>
      </c>
      <c r="J219" s="99"/>
      <c r="K219" s="136"/>
    </row>
    <row r="220" spans="1:11" s="18" customFormat="1" x14ac:dyDescent="0.25">
      <c r="A220" s="107"/>
      <c r="B220" s="107"/>
      <c r="C220" s="2" t="s">
        <v>15</v>
      </c>
      <c r="D220" s="58">
        <v>0</v>
      </c>
      <c r="E220" s="33">
        <f t="shared" si="52"/>
        <v>0</v>
      </c>
      <c r="F220" s="155"/>
      <c r="G220" s="136"/>
      <c r="H220" s="73" t="s">
        <v>21</v>
      </c>
      <c r="I220" s="42">
        <f>COUNTIF(I222,"нет")</f>
        <v>0</v>
      </c>
      <c r="J220" s="99"/>
      <c r="K220" s="136"/>
    </row>
    <row r="221" spans="1:11" s="18" customFormat="1" x14ac:dyDescent="0.25">
      <c r="A221" s="107"/>
      <c r="B221" s="107"/>
      <c r="C221" s="2" t="s">
        <v>17</v>
      </c>
      <c r="D221" s="58">
        <v>0</v>
      </c>
      <c r="E221" s="33">
        <f t="shared" si="52"/>
        <v>0</v>
      </c>
      <c r="F221" s="155"/>
      <c r="G221" s="136"/>
      <c r="H221" s="73" t="s">
        <v>22</v>
      </c>
      <c r="I221" s="79">
        <f>I218/I217*100</f>
        <v>100</v>
      </c>
      <c r="J221" s="100"/>
      <c r="K221" s="136"/>
    </row>
    <row r="222" spans="1:11" s="18" customFormat="1" x14ac:dyDescent="0.25">
      <c r="A222" s="113" t="s">
        <v>146</v>
      </c>
      <c r="B222" s="113" t="s">
        <v>148</v>
      </c>
      <c r="C222" s="17" t="s">
        <v>13</v>
      </c>
      <c r="D222" s="59">
        <f t="shared" ref="D222" si="54">SUM(D223:D226)</f>
        <v>1252.8</v>
      </c>
      <c r="E222" s="36">
        <f>E223+E224+E225+E226</f>
        <v>636.03</v>
      </c>
      <c r="F222" s="156">
        <f>E222/D222*100</f>
        <v>50.768678160919542</v>
      </c>
      <c r="G222" s="146" t="s">
        <v>219</v>
      </c>
      <c r="H222" s="146" t="s">
        <v>299</v>
      </c>
      <c r="I222" s="120" t="s">
        <v>217</v>
      </c>
      <c r="J222" s="114" t="s">
        <v>92</v>
      </c>
      <c r="K222" s="114" t="s">
        <v>218</v>
      </c>
    </row>
    <row r="223" spans="1:11" s="18" customFormat="1" x14ac:dyDescent="0.25">
      <c r="A223" s="113"/>
      <c r="B223" s="113"/>
      <c r="C223" s="17" t="s">
        <v>14</v>
      </c>
      <c r="D223" s="58">
        <v>0</v>
      </c>
      <c r="E223" s="36">
        <v>0</v>
      </c>
      <c r="F223" s="156"/>
      <c r="G223" s="147"/>
      <c r="H223" s="147"/>
      <c r="I223" s="121"/>
      <c r="J223" s="115"/>
      <c r="K223" s="115"/>
    </row>
    <row r="224" spans="1:11" s="18" customFormat="1" x14ac:dyDescent="0.25">
      <c r="A224" s="113"/>
      <c r="B224" s="113"/>
      <c r="C224" s="17" t="s">
        <v>16</v>
      </c>
      <c r="D224" s="62">
        <v>1252.8</v>
      </c>
      <c r="E224" s="36">
        <v>636.03</v>
      </c>
      <c r="F224" s="156">
        <f>E224/D224*100</f>
        <v>50.768678160919542</v>
      </c>
      <c r="G224" s="147"/>
      <c r="H224" s="147"/>
      <c r="I224" s="121"/>
      <c r="J224" s="115"/>
      <c r="K224" s="115"/>
    </row>
    <row r="225" spans="1:11" s="18" customFormat="1" x14ac:dyDescent="0.25">
      <c r="A225" s="113"/>
      <c r="B225" s="113"/>
      <c r="C225" s="17" t="s">
        <v>15</v>
      </c>
      <c r="D225" s="63">
        <v>0</v>
      </c>
      <c r="E225" s="36">
        <v>0</v>
      </c>
      <c r="F225" s="69"/>
      <c r="G225" s="147"/>
      <c r="H225" s="147"/>
      <c r="I225" s="121"/>
      <c r="J225" s="115"/>
      <c r="K225" s="115"/>
    </row>
    <row r="226" spans="1:11" s="18" customFormat="1" x14ac:dyDescent="0.25">
      <c r="A226" s="113"/>
      <c r="B226" s="113"/>
      <c r="C226" s="17" t="s">
        <v>17</v>
      </c>
      <c r="D226" s="58">
        <v>0</v>
      </c>
      <c r="E226" s="37">
        <v>0</v>
      </c>
      <c r="F226" s="69"/>
      <c r="G226" s="148"/>
      <c r="H226" s="148"/>
      <c r="I226" s="122"/>
      <c r="J226" s="116"/>
      <c r="K226" s="116"/>
    </row>
    <row r="227" spans="1:11" s="7" customFormat="1" ht="13.9" customHeight="1" x14ac:dyDescent="0.25">
      <c r="A227" s="94" t="s">
        <v>73</v>
      </c>
      <c r="B227" s="94" t="s">
        <v>158</v>
      </c>
      <c r="C227" s="10" t="s">
        <v>13</v>
      </c>
      <c r="D227" s="60">
        <f t="shared" ref="D227" si="55">SUM(D228:D231)</f>
        <v>7375.8</v>
      </c>
      <c r="E227" s="39">
        <f>E228+E229+E230+E231</f>
        <v>6617.2</v>
      </c>
      <c r="F227" s="67">
        <f>E227/D227*100</f>
        <v>89.715013964586888</v>
      </c>
      <c r="G227" s="95"/>
      <c r="H227" s="77" t="s">
        <v>18</v>
      </c>
      <c r="I227" s="43">
        <f>I232</f>
        <v>2</v>
      </c>
      <c r="J227" s="95" t="s">
        <v>165</v>
      </c>
      <c r="K227" s="95"/>
    </row>
    <row r="228" spans="1:11" s="7" customFormat="1" x14ac:dyDescent="0.25">
      <c r="A228" s="94"/>
      <c r="B228" s="94"/>
      <c r="C228" s="10" t="s">
        <v>14</v>
      </c>
      <c r="D228" s="60">
        <f>D233</f>
        <v>7375.8</v>
      </c>
      <c r="E228" s="39">
        <f>E233</f>
        <v>6617.2</v>
      </c>
      <c r="F228" s="67">
        <f>E228/D228*100</f>
        <v>89.715013964586888</v>
      </c>
      <c r="G228" s="96"/>
      <c r="H228" s="77" t="s">
        <v>19</v>
      </c>
      <c r="I228" s="43">
        <f>I233</f>
        <v>1</v>
      </c>
      <c r="J228" s="96"/>
      <c r="K228" s="96"/>
    </row>
    <row r="229" spans="1:11" s="7" customFormat="1" x14ac:dyDescent="0.25">
      <c r="A229" s="94"/>
      <c r="B229" s="94"/>
      <c r="C229" s="10" t="s">
        <v>16</v>
      </c>
      <c r="D229" s="60">
        <f t="shared" ref="D229:E231" si="56">D234</f>
        <v>0</v>
      </c>
      <c r="E229" s="39">
        <f t="shared" si="56"/>
        <v>0</v>
      </c>
      <c r="F229" s="67"/>
      <c r="G229" s="96"/>
      <c r="H229" s="77" t="s">
        <v>20</v>
      </c>
      <c r="I229" s="43">
        <f>I234</f>
        <v>1</v>
      </c>
      <c r="J229" s="96"/>
      <c r="K229" s="96"/>
    </row>
    <row r="230" spans="1:11" s="7" customFormat="1" x14ac:dyDescent="0.25">
      <c r="A230" s="94"/>
      <c r="B230" s="94"/>
      <c r="C230" s="10" t="s">
        <v>15</v>
      </c>
      <c r="D230" s="60">
        <v>0</v>
      </c>
      <c r="E230" s="39">
        <f t="shared" si="56"/>
        <v>0</v>
      </c>
      <c r="F230" s="67"/>
      <c r="G230" s="96"/>
      <c r="H230" s="77" t="s">
        <v>21</v>
      </c>
      <c r="I230" s="43">
        <f>I235</f>
        <v>0</v>
      </c>
      <c r="J230" s="96"/>
      <c r="K230" s="96"/>
    </row>
    <row r="231" spans="1:11" s="7" customFormat="1" ht="36" customHeight="1" x14ac:dyDescent="0.25">
      <c r="A231" s="94"/>
      <c r="B231" s="94"/>
      <c r="C231" s="10" t="s">
        <v>17</v>
      </c>
      <c r="D231" s="60">
        <v>0</v>
      </c>
      <c r="E231" s="39">
        <f t="shared" si="56"/>
        <v>0</v>
      </c>
      <c r="F231" s="67"/>
      <c r="G231" s="97"/>
      <c r="H231" s="77" t="s">
        <v>22</v>
      </c>
      <c r="I231" s="78">
        <f>I228/I227*100</f>
        <v>50</v>
      </c>
      <c r="J231" s="97"/>
      <c r="K231" s="97"/>
    </row>
    <row r="232" spans="1:11" x14ac:dyDescent="0.25">
      <c r="A232" s="107" t="s">
        <v>32</v>
      </c>
      <c r="B232" s="107" t="s">
        <v>294</v>
      </c>
      <c r="C232" s="2" t="s">
        <v>13</v>
      </c>
      <c r="D232" s="60">
        <f t="shared" ref="D232" si="57">SUM(D233:D236)</f>
        <v>7375.8</v>
      </c>
      <c r="E232" s="33">
        <f>E233+E234+E235+E236</f>
        <v>6617.2</v>
      </c>
      <c r="F232" s="68">
        <f>E232/D232*100</f>
        <v>89.715013964586888</v>
      </c>
      <c r="G232" s="98"/>
      <c r="H232" s="73" t="s">
        <v>18</v>
      </c>
      <c r="I232" s="42">
        <f>COUNTA(I237:I266)</f>
        <v>2</v>
      </c>
      <c r="J232" s="98" t="s">
        <v>165</v>
      </c>
      <c r="K232" s="98"/>
    </row>
    <row r="233" spans="1:11" x14ac:dyDescent="0.25">
      <c r="A233" s="107"/>
      <c r="B233" s="107"/>
      <c r="C233" s="2" t="s">
        <v>14</v>
      </c>
      <c r="D233" s="60">
        <f>D238+D243+D248+D253+D258+D263</f>
        <v>7375.8</v>
      </c>
      <c r="E233" s="33">
        <f>E238+E243+E248+E253+E258+E263</f>
        <v>6617.2</v>
      </c>
      <c r="F233" s="68">
        <f>E233/D233*100</f>
        <v>89.715013964586888</v>
      </c>
      <c r="G233" s="99"/>
      <c r="H233" s="73" t="s">
        <v>19</v>
      </c>
      <c r="I233" s="42">
        <f>COUNTIF(I237:I266,"да")</f>
        <v>1</v>
      </c>
      <c r="J233" s="99"/>
      <c r="K233" s="99"/>
    </row>
    <row r="234" spans="1:11" x14ac:dyDescent="0.25">
      <c r="A234" s="107"/>
      <c r="B234" s="107"/>
      <c r="C234" s="2" t="s">
        <v>16</v>
      </c>
      <c r="D234" s="64">
        <f t="shared" ref="D234" si="58">D239+D244+D249+D254+D259+D264</f>
        <v>0</v>
      </c>
      <c r="E234" s="33">
        <f>E239+E244+E249+E254+E259+E264</f>
        <v>0</v>
      </c>
      <c r="F234" s="68"/>
      <c r="G234" s="99"/>
      <c r="H234" s="73" t="s">
        <v>20</v>
      </c>
      <c r="I234" s="42">
        <f>COUNTIF(I237:I266,"частично")</f>
        <v>1</v>
      </c>
      <c r="J234" s="99"/>
      <c r="K234" s="99"/>
    </row>
    <row r="235" spans="1:11" x14ac:dyDescent="0.25">
      <c r="A235" s="107"/>
      <c r="B235" s="107"/>
      <c r="C235" s="2" t="s">
        <v>15</v>
      </c>
      <c r="D235" s="64">
        <v>0</v>
      </c>
      <c r="E235" s="33">
        <f t="shared" ref="E235:E236" si="59">E240+E245+E250+E255+E260+E265</f>
        <v>0</v>
      </c>
      <c r="F235" s="68"/>
      <c r="G235" s="99"/>
      <c r="H235" s="73" t="s">
        <v>21</v>
      </c>
      <c r="I235" s="42">
        <f>COUNTIF(I237:I266,"нет")</f>
        <v>0</v>
      </c>
      <c r="J235" s="99"/>
      <c r="K235" s="99"/>
    </row>
    <row r="236" spans="1:11" ht="57.6" customHeight="1" x14ac:dyDescent="0.25">
      <c r="A236" s="107"/>
      <c r="B236" s="107"/>
      <c r="C236" s="2" t="s">
        <v>17</v>
      </c>
      <c r="D236" s="64">
        <v>0</v>
      </c>
      <c r="E236" s="38">
        <f t="shared" si="59"/>
        <v>0</v>
      </c>
      <c r="F236" s="68"/>
      <c r="G236" s="100"/>
      <c r="H236" s="73" t="s">
        <v>22</v>
      </c>
      <c r="I236" s="79">
        <f>I233/I232*100</f>
        <v>50</v>
      </c>
      <c r="J236" s="100"/>
      <c r="K236" s="100"/>
    </row>
    <row r="237" spans="1:11" ht="15" customHeight="1" x14ac:dyDescent="0.25">
      <c r="A237" s="113" t="s">
        <v>33</v>
      </c>
      <c r="B237" s="113" t="s">
        <v>295</v>
      </c>
      <c r="C237" s="17" t="s">
        <v>13</v>
      </c>
      <c r="D237" s="60">
        <f>D238+D239+D240</f>
        <v>958.2</v>
      </c>
      <c r="E237" s="34">
        <f>E238</f>
        <v>931.2</v>
      </c>
      <c r="F237" s="69">
        <f>E237/D237*100</f>
        <v>97.182216656230437</v>
      </c>
      <c r="G237" s="132" t="s">
        <v>255</v>
      </c>
      <c r="H237" s="132" t="s">
        <v>263</v>
      </c>
      <c r="I237" s="113" t="s">
        <v>217</v>
      </c>
      <c r="J237" s="132" t="s">
        <v>89</v>
      </c>
      <c r="K237" s="132"/>
    </row>
    <row r="238" spans="1:11" x14ac:dyDescent="0.25">
      <c r="A238" s="113"/>
      <c r="B238" s="113"/>
      <c r="C238" s="17" t="s">
        <v>14</v>
      </c>
      <c r="D238" s="60">
        <v>958.2</v>
      </c>
      <c r="E238" s="34">
        <v>931.2</v>
      </c>
      <c r="F238" s="69">
        <f>E238/D238*100</f>
        <v>97.182216656230437</v>
      </c>
      <c r="G238" s="132"/>
      <c r="H238" s="132"/>
      <c r="I238" s="113"/>
      <c r="J238" s="132"/>
      <c r="K238" s="132"/>
    </row>
    <row r="239" spans="1:11" x14ac:dyDescent="0.25">
      <c r="A239" s="113"/>
      <c r="B239" s="113"/>
      <c r="C239" s="17" t="s">
        <v>16</v>
      </c>
      <c r="D239" s="60">
        <v>0</v>
      </c>
      <c r="E239" s="34">
        <v>0</v>
      </c>
      <c r="F239" s="69"/>
      <c r="G239" s="132"/>
      <c r="H239" s="132"/>
      <c r="I239" s="113"/>
      <c r="J239" s="132"/>
      <c r="K239" s="132"/>
    </row>
    <row r="240" spans="1:11" x14ac:dyDescent="0.25">
      <c r="A240" s="113"/>
      <c r="B240" s="113"/>
      <c r="C240" s="17" t="s">
        <v>15</v>
      </c>
      <c r="D240" s="60">
        <v>0</v>
      </c>
      <c r="E240" s="34">
        <v>0</v>
      </c>
      <c r="F240" s="69"/>
      <c r="G240" s="132"/>
      <c r="H240" s="132"/>
      <c r="I240" s="113"/>
      <c r="J240" s="132"/>
      <c r="K240" s="132"/>
    </row>
    <row r="241" spans="1:11" ht="409.5" customHeight="1" x14ac:dyDescent="0.25">
      <c r="A241" s="113"/>
      <c r="B241" s="113"/>
      <c r="C241" s="17" t="s">
        <v>17</v>
      </c>
      <c r="D241" s="64">
        <v>0</v>
      </c>
      <c r="E241" s="34">
        <v>0</v>
      </c>
      <c r="F241" s="69"/>
      <c r="G241" s="132"/>
      <c r="H241" s="132"/>
      <c r="I241" s="113"/>
      <c r="J241" s="132"/>
      <c r="K241" s="132"/>
    </row>
    <row r="242" spans="1:11" ht="15" customHeight="1" x14ac:dyDescent="0.25">
      <c r="A242" s="113" t="s">
        <v>34</v>
      </c>
      <c r="B242" s="113" t="s">
        <v>154</v>
      </c>
      <c r="C242" s="17" t="s">
        <v>13</v>
      </c>
      <c r="D242" s="47">
        <v>0</v>
      </c>
      <c r="E242" s="36">
        <f>E243+E244+E245+E246</f>
        <v>0</v>
      </c>
      <c r="F242" s="69"/>
      <c r="G242" s="114"/>
      <c r="H242" s="114"/>
      <c r="I242" s="113"/>
      <c r="J242" s="114" t="s">
        <v>94</v>
      </c>
      <c r="K242" s="114"/>
    </row>
    <row r="243" spans="1:11" x14ac:dyDescent="0.25">
      <c r="A243" s="113"/>
      <c r="B243" s="113"/>
      <c r="C243" s="17" t="s">
        <v>14</v>
      </c>
      <c r="D243" s="47">
        <v>0</v>
      </c>
      <c r="E243" s="36">
        <v>0</v>
      </c>
      <c r="F243" s="69"/>
      <c r="G243" s="115"/>
      <c r="H243" s="115"/>
      <c r="I243" s="113"/>
      <c r="J243" s="115"/>
      <c r="K243" s="115"/>
    </row>
    <row r="244" spans="1:11" x14ac:dyDescent="0.25">
      <c r="A244" s="113"/>
      <c r="B244" s="113"/>
      <c r="C244" s="17" t="s">
        <v>16</v>
      </c>
      <c r="D244" s="65">
        <v>0</v>
      </c>
      <c r="E244" s="36">
        <v>0</v>
      </c>
      <c r="F244" s="69"/>
      <c r="G244" s="115"/>
      <c r="H244" s="115"/>
      <c r="I244" s="113"/>
      <c r="J244" s="115"/>
      <c r="K244" s="115"/>
    </row>
    <row r="245" spans="1:11" x14ac:dyDescent="0.25">
      <c r="A245" s="113"/>
      <c r="B245" s="113"/>
      <c r="C245" s="17" t="s">
        <v>15</v>
      </c>
      <c r="D245" s="60">
        <v>0</v>
      </c>
      <c r="E245" s="36">
        <v>0</v>
      </c>
      <c r="F245" s="69"/>
      <c r="G245" s="115"/>
      <c r="H245" s="115"/>
      <c r="I245" s="113"/>
      <c r="J245" s="115"/>
      <c r="K245" s="115"/>
    </row>
    <row r="246" spans="1:11" ht="91.5" customHeight="1" x14ac:dyDescent="0.25">
      <c r="A246" s="113"/>
      <c r="B246" s="113"/>
      <c r="C246" s="17" t="s">
        <v>17</v>
      </c>
      <c r="D246" s="64">
        <v>0</v>
      </c>
      <c r="E246" s="36">
        <v>0</v>
      </c>
      <c r="F246" s="69"/>
      <c r="G246" s="116"/>
      <c r="H246" s="116"/>
      <c r="I246" s="113"/>
      <c r="J246" s="116"/>
      <c r="K246" s="116"/>
    </row>
    <row r="247" spans="1:11" x14ac:dyDescent="0.25">
      <c r="A247" s="113" t="s">
        <v>150</v>
      </c>
      <c r="B247" s="113" t="s">
        <v>230</v>
      </c>
      <c r="C247" s="17" t="s">
        <v>13</v>
      </c>
      <c r="D247" s="60">
        <f t="shared" ref="D247" si="60">SUM(D248:D251)</f>
        <v>6417.6</v>
      </c>
      <c r="E247" s="36">
        <f>E248+E249+E250+E251</f>
        <v>5686</v>
      </c>
      <c r="F247" s="69">
        <f>E247/D247*100</f>
        <v>88.600099725754163</v>
      </c>
      <c r="G247" s="132" t="s">
        <v>262</v>
      </c>
      <c r="H247" s="132" t="s">
        <v>273</v>
      </c>
      <c r="I247" s="133" t="s">
        <v>83</v>
      </c>
      <c r="J247" s="132" t="s">
        <v>91</v>
      </c>
      <c r="K247" s="132" t="s">
        <v>272</v>
      </c>
    </row>
    <row r="248" spans="1:11" x14ac:dyDescent="0.25">
      <c r="A248" s="113"/>
      <c r="B248" s="113"/>
      <c r="C248" s="17" t="s">
        <v>14</v>
      </c>
      <c r="D248" s="60">
        <v>6417.6</v>
      </c>
      <c r="E248" s="36">
        <v>5686</v>
      </c>
      <c r="F248" s="69">
        <f>E248/D248*100</f>
        <v>88.600099725754163</v>
      </c>
      <c r="G248" s="132"/>
      <c r="H248" s="132"/>
      <c r="I248" s="133"/>
      <c r="J248" s="132"/>
      <c r="K248" s="132"/>
    </row>
    <row r="249" spans="1:11" x14ac:dyDescent="0.25">
      <c r="A249" s="113"/>
      <c r="B249" s="113"/>
      <c r="C249" s="17" t="s">
        <v>16</v>
      </c>
      <c r="D249" s="60">
        <v>0</v>
      </c>
      <c r="E249" s="36">
        <v>0</v>
      </c>
      <c r="F249" s="69"/>
      <c r="G249" s="132"/>
      <c r="H249" s="132"/>
      <c r="I249" s="133"/>
      <c r="J249" s="132"/>
      <c r="K249" s="132"/>
    </row>
    <row r="250" spans="1:11" x14ac:dyDescent="0.25">
      <c r="A250" s="113"/>
      <c r="B250" s="113"/>
      <c r="C250" s="17" t="s">
        <v>15</v>
      </c>
      <c r="D250" s="60">
        <v>0</v>
      </c>
      <c r="E250" s="36">
        <v>0</v>
      </c>
      <c r="F250" s="69"/>
      <c r="G250" s="132"/>
      <c r="H250" s="132"/>
      <c r="I250" s="133"/>
      <c r="J250" s="132"/>
      <c r="K250" s="132"/>
    </row>
    <row r="251" spans="1:11" ht="76.5" customHeight="1" x14ac:dyDescent="0.25">
      <c r="A251" s="113"/>
      <c r="B251" s="113"/>
      <c r="C251" s="17" t="s">
        <v>17</v>
      </c>
      <c r="D251" s="64">
        <v>0</v>
      </c>
      <c r="E251" s="37">
        <v>0</v>
      </c>
      <c r="F251" s="69"/>
      <c r="G251" s="132"/>
      <c r="H251" s="132"/>
      <c r="I251" s="133"/>
      <c r="J251" s="132"/>
      <c r="K251" s="132"/>
    </row>
    <row r="252" spans="1:11" x14ac:dyDescent="0.25">
      <c r="A252" s="113" t="s">
        <v>151</v>
      </c>
      <c r="B252" s="113" t="s">
        <v>155</v>
      </c>
      <c r="C252" s="17" t="s">
        <v>13</v>
      </c>
      <c r="D252" s="60">
        <f>D253+D254</f>
        <v>0</v>
      </c>
      <c r="E252" s="36">
        <f>E253+E254+E255+E256</f>
        <v>0</v>
      </c>
      <c r="F252" s="69" t="e">
        <f>E252/D252*100</f>
        <v>#DIV/0!</v>
      </c>
      <c r="G252" s="114"/>
      <c r="H252" s="114"/>
      <c r="I252" s="113"/>
      <c r="J252" s="114" t="s">
        <v>24</v>
      </c>
      <c r="K252" s="114"/>
    </row>
    <row r="253" spans="1:11" x14ac:dyDescent="0.25">
      <c r="A253" s="113"/>
      <c r="B253" s="113"/>
      <c r="C253" s="17" t="s">
        <v>14</v>
      </c>
      <c r="D253" s="60">
        <v>0</v>
      </c>
      <c r="E253" s="36"/>
      <c r="F253" s="69" t="e">
        <f>E253/D253*100</f>
        <v>#DIV/0!</v>
      </c>
      <c r="G253" s="115"/>
      <c r="H253" s="115"/>
      <c r="I253" s="113"/>
      <c r="J253" s="115"/>
      <c r="K253" s="115"/>
    </row>
    <row r="254" spans="1:11" x14ac:dyDescent="0.25">
      <c r="A254" s="113"/>
      <c r="B254" s="113"/>
      <c r="C254" s="17" t="s">
        <v>16</v>
      </c>
      <c r="D254" s="60">
        <v>0</v>
      </c>
      <c r="E254" s="36">
        <v>0</v>
      </c>
      <c r="F254" s="69"/>
      <c r="G254" s="115"/>
      <c r="H254" s="115"/>
      <c r="I254" s="113"/>
      <c r="J254" s="115"/>
      <c r="K254" s="115"/>
    </row>
    <row r="255" spans="1:11" x14ac:dyDescent="0.25">
      <c r="A255" s="113"/>
      <c r="B255" s="113"/>
      <c r="C255" s="17" t="s">
        <v>15</v>
      </c>
      <c r="D255" s="60">
        <v>0</v>
      </c>
      <c r="E255" s="36">
        <v>0</v>
      </c>
      <c r="F255" s="69"/>
      <c r="G255" s="115"/>
      <c r="H255" s="115"/>
      <c r="I255" s="113"/>
      <c r="J255" s="115"/>
      <c r="K255" s="115"/>
    </row>
    <row r="256" spans="1:11" x14ac:dyDescent="0.25">
      <c r="A256" s="113"/>
      <c r="B256" s="113"/>
      <c r="C256" s="17" t="s">
        <v>17</v>
      </c>
      <c r="D256" s="64">
        <v>0</v>
      </c>
      <c r="E256" s="36">
        <v>0</v>
      </c>
      <c r="F256" s="69"/>
      <c r="G256" s="116"/>
      <c r="H256" s="116"/>
      <c r="I256" s="113"/>
      <c r="J256" s="116"/>
      <c r="K256" s="116"/>
    </row>
    <row r="257" spans="1:13" s="18" customFormat="1" ht="15" customHeight="1" x14ac:dyDescent="0.25">
      <c r="A257" s="113" t="s">
        <v>152</v>
      </c>
      <c r="B257" s="113" t="s">
        <v>156</v>
      </c>
      <c r="C257" s="17" t="s">
        <v>13</v>
      </c>
      <c r="D257" s="64">
        <f t="shared" ref="D257" si="61">SUM(D258:D261)</f>
        <v>0</v>
      </c>
      <c r="E257" s="36">
        <f>E258+E259+E260+E261</f>
        <v>0</v>
      </c>
      <c r="F257" s="69" t="e">
        <f>E257/D257*100</f>
        <v>#DIV/0!</v>
      </c>
      <c r="G257" s="134"/>
      <c r="H257" s="134"/>
      <c r="I257" s="113"/>
      <c r="J257" s="132" t="s">
        <v>91</v>
      </c>
      <c r="K257" s="114"/>
    </row>
    <row r="258" spans="1:13" s="18" customFormat="1" x14ac:dyDescent="0.25">
      <c r="A258" s="113"/>
      <c r="B258" s="113"/>
      <c r="C258" s="17" t="s">
        <v>14</v>
      </c>
      <c r="D258" s="64">
        <v>0</v>
      </c>
      <c r="E258" s="36">
        <v>0</v>
      </c>
      <c r="F258" s="69"/>
      <c r="G258" s="135"/>
      <c r="H258" s="135"/>
      <c r="I258" s="113"/>
      <c r="J258" s="132"/>
      <c r="K258" s="115"/>
    </row>
    <row r="259" spans="1:13" s="18" customFormat="1" x14ac:dyDescent="0.25">
      <c r="A259" s="113"/>
      <c r="B259" s="113"/>
      <c r="C259" s="17" t="s">
        <v>16</v>
      </c>
      <c r="D259" s="64">
        <v>0</v>
      </c>
      <c r="E259" s="36"/>
      <c r="F259" s="69" t="e">
        <f>E259/D259*100</f>
        <v>#DIV/0!</v>
      </c>
      <c r="G259" s="135"/>
      <c r="H259" s="135"/>
      <c r="I259" s="113"/>
      <c r="J259" s="132"/>
      <c r="K259" s="115"/>
    </row>
    <row r="260" spans="1:13" s="18" customFormat="1" x14ac:dyDescent="0.25">
      <c r="A260" s="113"/>
      <c r="B260" s="113"/>
      <c r="C260" s="17" t="s">
        <v>15</v>
      </c>
      <c r="D260" s="64">
        <v>0</v>
      </c>
      <c r="E260" s="36">
        <v>0</v>
      </c>
      <c r="F260" s="69"/>
      <c r="G260" s="135"/>
      <c r="H260" s="135"/>
      <c r="I260" s="113"/>
      <c r="J260" s="132"/>
      <c r="K260" s="115"/>
    </row>
    <row r="261" spans="1:13" s="18" customFormat="1" x14ac:dyDescent="0.25">
      <c r="A261" s="113"/>
      <c r="B261" s="113"/>
      <c r="C261" s="17" t="s">
        <v>17</v>
      </c>
      <c r="D261" s="64">
        <v>0</v>
      </c>
      <c r="E261" s="36">
        <v>0</v>
      </c>
      <c r="F261" s="69"/>
      <c r="G261" s="135"/>
      <c r="H261" s="135"/>
      <c r="I261" s="113"/>
      <c r="J261" s="132"/>
      <c r="K261" s="115"/>
    </row>
    <row r="262" spans="1:13" s="18" customFormat="1" x14ac:dyDescent="0.25">
      <c r="A262" s="113" t="s">
        <v>153</v>
      </c>
      <c r="B262" s="113" t="s">
        <v>157</v>
      </c>
      <c r="C262" s="17" t="s">
        <v>13</v>
      </c>
      <c r="D262" s="64">
        <f t="shared" ref="D262" si="62">SUM(D263:D266)</f>
        <v>0</v>
      </c>
      <c r="E262" s="36">
        <f>E263+E264+E265+E266</f>
        <v>0</v>
      </c>
      <c r="F262" s="69" t="e">
        <f>E262/D262*100</f>
        <v>#DIV/0!</v>
      </c>
      <c r="G262" s="134"/>
      <c r="H262" s="134"/>
      <c r="I262" s="113"/>
      <c r="J262" s="114" t="s">
        <v>91</v>
      </c>
      <c r="K262" s="127"/>
    </row>
    <row r="263" spans="1:13" s="18" customFormat="1" x14ac:dyDescent="0.25">
      <c r="A263" s="113"/>
      <c r="B263" s="113"/>
      <c r="C263" s="17" t="s">
        <v>14</v>
      </c>
      <c r="D263" s="64">
        <v>0</v>
      </c>
      <c r="E263" s="36"/>
      <c r="F263" s="69" t="e">
        <f>E263/D263*100</f>
        <v>#DIV/0!</v>
      </c>
      <c r="G263" s="135"/>
      <c r="H263" s="135"/>
      <c r="I263" s="113"/>
      <c r="J263" s="115"/>
      <c r="K263" s="127"/>
    </row>
    <row r="264" spans="1:13" s="18" customFormat="1" x14ac:dyDescent="0.25">
      <c r="A264" s="113"/>
      <c r="B264" s="113"/>
      <c r="C264" s="17" t="s">
        <v>16</v>
      </c>
      <c r="D264" s="64">
        <v>0</v>
      </c>
      <c r="E264" s="36">
        <v>0</v>
      </c>
      <c r="F264" s="69"/>
      <c r="G264" s="135"/>
      <c r="H264" s="135"/>
      <c r="I264" s="113"/>
      <c r="J264" s="115"/>
      <c r="K264" s="127"/>
    </row>
    <row r="265" spans="1:13" s="18" customFormat="1" x14ac:dyDescent="0.25">
      <c r="A265" s="113"/>
      <c r="B265" s="113"/>
      <c r="C265" s="17" t="s">
        <v>15</v>
      </c>
      <c r="D265" s="64">
        <v>0</v>
      </c>
      <c r="E265" s="36">
        <v>0</v>
      </c>
      <c r="F265" s="69"/>
      <c r="G265" s="135"/>
      <c r="H265" s="135"/>
      <c r="I265" s="113"/>
      <c r="J265" s="115"/>
      <c r="K265" s="127"/>
    </row>
    <row r="266" spans="1:13" s="18" customFormat="1" ht="57.75" customHeight="1" x14ac:dyDescent="0.25">
      <c r="A266" s="113"/>
      <c r="B266" s="113"/>
      <c r="C266" s="17" t="s">
        <v>17</v>
      </c>
      <c r="D266" s="64">
        <v>0</v>
      </c>
      <c r="E266" s="36">
        <v>0</v>
      </c>
      <c r="F266" s="69"/>
      <c r="G266" s="135"/>
      <c r="H266" s="135"/>
      <c r="I266" s="113"/>
      <c r="J266" s="116"/>
      <c r="K266" s="128"/>
    </row>
    <row r="267" spans="1:13" s="7" customFormat="1" x14ac:dyDescent="0.2">
      <c r="A267" s="94" t="s">
        <v>76</v>
      </c>
      <c r="B267" s="94" t="s">
        <v>296</v>
      </c>
      <c r="C267" s="10" t="s">
        <v>13</v>
      </c>
      <c r="D267" s="66">
        <f t="shared" ref="D267" si="63">SUM(D268:D271)</f>
        <v>44569.7</v>
      </c>
      <c r="E267" s="39">
        <f>E268+E269+E270+E271</f>
        <v>44253.8</v>
      </c>
      <c r="F267" s="67">
        <f>E267/D267*100</f>
        <v>99.29122251215513</v>
      </c>
      <c r="G267" s="95"/>
      <c r="H267" s="77" t="s">
        <v>18</v>
      </c>
      <c r="I267" s="43">
        <f>I272</f>
        <v>5</v>
      </c>
      <c r="J267" s="137" t="s">
        <v>24</v>
      </c>
      <c r="K267" s="95"/>
    </row>
    <row r="268" spans="1:13" s="7" customFormat="1" x14ac:dyDescent="0.2">
      <c r="A268" s="94"/>
      <c r="B268" s="94"/>
      <c r="C268" s="10" t="s">
        <v>14</v>
      </c>
      <c r="D268" s="66">
        <f t="shared" ref="D268:E271" si="64">D273</f>
        <v>37992</v>
      </c>
      <c r="E268" s="39">
        <f>E273</f>
        <v>37839.630000000005</v>
      </c>
      <c r="F268" s="67">
        <f>E268/D268*100</f>
        <v>99.598941882501592</v>
      </c>
      <c r="G268" s="96"/>
      <c r="H268" s="77" t="s">
        <v>19</v>
      </c>
      <c r="I268" s="43">
        <f>I273</f>
        <v>5</v>
      </c>
      <c r="J268" s="137"/>
      <c r="K268" s="96"/>
    </row>
    <row r="269" spans="1:13" s="7" customFormat="1" x14ac:dyDescent="0.2">
      <c r="A269" s="94"/>
      <c r="B269" s="94"/>
      <c r="C269" s="10" t="s">
        <v>16</v>
      </c>
      <c r="D269" s="66">
        <f t="shared" si="64"/>
        <v>6577.7</v>
      </c>
      <c r="E269" s="39">
        <f t="shared" si="64"/>
        <v>6414.17</v>
      </c>
      <c r="F269" s="67">
        <f>E269/D269*100</f>
        <v>97.513872630250702</v>
      </c>
      <c r="G269" s="96"/>
      <c r="H269" s="77" t="s">
        <v>20</v>
      </c>
      <c r="I269" s="43">
        <f>I274</f>
        <v>0</v>
      </c>
      <c r="J269" s="137"/>
      <c r="K269" s="96"/>
    </row>
    <row r="270" spans="1:13" s="7" customFormat="1" x14ac:dyDescent="0.2">
      <c r="A270" s="94"/>
      <c r="B270" s="94"/>
      <c r="C270" s="10" t="s">
        <v>15</v>
      </c>
      <c r="D270" s="66">
        <v>0</v>
      </c>
      <c r="E270" s="39">
        <f t="shared" si="64"/>
        <v>0</v>
      </c>
      <c r="F270" s="67"/>
      <c r="G270" s="96"/>
      <c r="H270" s="77" t="s">
        <v>21</v>
      </c>
      <c r="I270" s="43">
        <f>I275</f>
        <v>0</v>
      </c>
      <c r="J270" s="137"/>
      <c r="K270" s="96"/>
    </row>
    <row r="271" spans="1:13" s="7" customFormat="1" ht="50.25" customHeight="1" x14ac:dyDescent="0.2">
      <c r="A271" s="94"/>
      <c r="B271" s="94"/>
      <c r="C271" s="10" t="s">
        <v>17</v>
      </c>
      <c r="D271" s="64">
        <v>0</v>
      </c>
      <c r="E271" s="40">
        <f t="shared" si="64"/>
        <v>0</v>
      </c>
      <c r="F271" s="67"/>
      <c r="G271" s="97"/>
      <c r="H271" s="77" t="s">
        <v>22</v>
      </c>
      <c r="I271" s="78">
        <f>I268/I267*100</f>
        <v>100</v>
      </c>
      <c r="J271" s="137"/>
      <c r="K271" s="97"/>
    </row>
    <row r="272" spans="1:13" x14ac:dyDescent="0.25">
      <c r="A272" s="107" t="s">
        <v>77</v>
      </c>
      <c r="B272" s="107" t="s">
        <v>159</v>
      </c>
      <c r="C272" s="2" t="s">
        <v>13</v>
      </c>
      <c r="D272" s="66">
        <f t="shared" ref="D272" si="65">SUM(D273:D276)</f>
        <v>44569.7</v>
      </c>
      <c r="E272" s="33">
        <f>E273+E274+E275+E276</f>
        <v>44253.8</v>
      </c>
      <c r="F272" s="68">
        <f>E272/D272*100</f>
        <v>99.29122251215513</v>
      </c>
      <c r="G272" s="136"/>
      <c r="H272" s="73" t="s">
        <v>18</v>
      </c>
      <c r="I272" s="42">
        <f>COUNTA(I277:I301)</f>
        <v>5</v>
      </c>
      <c r="J272" s="98" t="s">
        <v>24</v>
      </c>
      <c r="K272" s="98"/>
      <c r="M272" s="32"/>
    </row>
    <row r="273" spans="1:11" x14ac:dyDescent="0.25">
      <c r="A273" s="107"/>
      <c r="B273" s="107"/>
      <c r="C273" s="2" t="s">
        <v>14</v>
      </c>
      <c r="D273" s="66">
        <f>D278+D283+D288+D293+D298</f>
        <v>37992</v>
      </c>
      <c r="E273" s="33">
        <f>E278+E283+E288+E293+E298</f>
        <v>37839.630000000005</v>
      </c>
      <c r="F273" s="68">
        <f>E273/D273*100</f>
        <v>99.598941882501592</v>
      </c>
      <c r="G273" s="136"/>
      <c r="H273" s="73" t="s">
        <v>19</v>
      </c>
      <c r="I273" s="42">
        <f>COUNTIF(I277:I301,"да")</f>
        <v>5</v>
      </c>
      <c r="J273" s="99"/>
      <c r="K273" s="99"/>
    </row>
    <row r="274" spans="1:11" x14ac:dyDescent="0.25">
      <c r="A274" s="107"/>
      <c r="B274" s="107"/>
      <c r="C274" s="2" t="s">
        <v>16</v>
      </c>
      <c r="D274" s="66">
        <f t="shared" ref="D274:E276" si="66">D279+D284+D289+D294+D299</f>
        <v>6577.7</v>
      </c>
      <c r="E274" s="33">
        <f t="shared" si="66"/>
        <v>6414.17</v>
      </c>
      <c r="F274" s="68">
        <f>E274/D274*100</f>
        <v>97.513872630250702</v>
      </c>
      <c r="G274" s="136"/>
      <c r="H274" s="73" t="s">
        <v>20</v>
      </c>
      <c r="I274" s="42">
        <f>COUNTIF(I277:I301,"частично")</f>
        <v>0</v>
      </c>
      <c r="J274" s="99"/>
      <c r="K274" s="99"/>
    </row>
    <row r="275" spans="1:11" x14ac:dyDescent="0.25">
      <c r="A275" s="107"/>
      <c r="B275" s="107"/>
      <c r="C275" s="2" t="s">
        <v>15</v>
      </c>
      <c r="D275" s="66">
        <f>D280+D285+D290+D295+D300</f>
        <v>0</v>
      </c>
      <c r="E275" s="33">
        <f t="shared" si="66"/>
        <v>0</v>
      </c>
      <c r="F275" s="68"/>
      <c r="G275" s="136"/>
      <c r="H275" s="73" t="s">
        <v>21</v>
      </c>
      <c r="I275" s="42">
        <f>COUNTIF(I277:I301,"нет")</f>
        <v>0</v>
      </c>
      <c r="J275" s="99"/>
      <c r="K275" s="99"/>
    </row>
    <row r="276" spans="1:11" ht="30" customHeight="1" x14ac:dyDescent="0.25">
      <c r="A276" s="107"/>
      <c r="B276" s="107"/>
      <c r="C276" s="2" t="s">
        <v>17</v>
      </c>
      <c r="D276" s="64">
        <f>D281+D286+D291+D296+D301</f>
        <v>0</v>
      </c>
      <c r="E276" s="33">
        <f t="shared" si="66"/>
        <v>0</v>
      </c>
      <c r="F276" s="68"/>
      <c r="G276" s="136"/>
      <c r="H276" s="73" t="s">
        <v>22</v>
      </c>
      <c r="I276" s="79">
        <f>I273/I272*100</f>
        <v>100</v>
      </c>
      <c r="J276" s="100"/>
      <c r="K276" s="100"/>
    </row>
    <row r="277" spans="1:11" s="18" customFormat="1" x14ac:dyDescent="0.25">
      <c r="A277" s="113" t="s">
        <v>78</v>
      </c>
      <c r="B277" s="113" t="s">
        <v>81</v>
      </c>
      <c r="C277" s="17" t="s">
        <v>13</v>
      </c>
      <c r="D277" s="66">
        <f t="shared" ref="D277" si="67">SUM(D278:D281)</f>
        <v>37095.300000000003</v>
      </c>
      <c r="E277" s="36">
        <f>E278+E279+E280+E281</f>
        <v>37092.400000000001</v>
      </c>
      <c r="F277" s="69">
        <f>E277/D277*100</f>
        <v>99.992182298026961</v>
      </c>
      <c r="G277" s="114" t="s">
        <v>225</v>
      </c>
      <c r="H277" s="114" t="s">
        <v>225</v>
      </c>
      <c r="I277" s="113" t="s">
        <v>217</v>
      </c>
      <c r="J277" s="114" t="s">
        <v>24</v>
      </c>
      <c r="K277" s="114"/>
    </row>
    <row r="278" spans="1:11" s="18" customFormat="1" x14ac:dyDescent="0.25">
      <c r="A278" s="113"/>
      <c r="B278" s="113"/>
      <c r="C278" s="17" t="s">
        <v>14</v>
      </c>
      <c r="D278" s="66">
        <v>37095.300000000003</v>
      </c>
      <c r="E278" s="45">
        <v>37092.400000000001</v>
      </c>
      <c r="F278" s="69">
        <f>E278/D278*100</f>
        <v>99.992182298026961</v>
      </c>
      <c r="G278" s="115"/>
      <c r="H278" s="115"/>
      <c r="I278" s="113"/>
      <c r="J278" s="115"/>
      <c r="K278" s="115"/>
    </row>
    <row r="279" spans="1:11" s="18" customFormat="1" x14ac:dyDescent="0.25">
      <c r="A279" s="113"/>
      <c r="B279" s="113"/>
      <c r="C279" s="17" t="s">
        <v>16</v>
      </c>
      <c r="D279" s="66">
        <v>0</v>
      </c>
      <c r="E279" s="36">
        <v>0</v>
      </c>
      <c r="F279" s="69"/>
      <c r="G279" s="115"/>
      <c r="H279" s="115"/>
      <c r="I279" s="113"/>
      <c r="J279" s="115"/>
      <c r="K279" s="115"/>
    </row>
    <row r="280" spans="1:11" s="18" customFormat="1" x14ac:dyDescent="0.25">
      <c r="A280" s="113"/>
      <c r="B280" s="113"/>
      <c r="C280" s="17" t="s">
        <v>15</v>
      </c>
      <c r="D280" s="66">
        <v>0</v>
      </c>
      <c r="E280" s="36">
        <v>0</v>
      </c>
      <c r="F280" s="69"/>
      <c r="G280" s="115"/>
      <c r="H280" s="115"/>
      <c r="I280" s="113"/>
      <c r="J280" s="115"/>
      <c r="K280" s="115"/>
    </row>
    <row r="281" spans="1:11" s="18" customFormat="1" x14ac:dyDescent="0.25">
      <c r="A281" s="113"/>
      <c r="B281" s="113"/>
      <c r="C281" s="17" t="s">
        <v>17</v>
      </c>
      <c r="D281" s="66">
        <v>0</v>
      </c>
      <c r="E281" s="36">
        <v>0</v>
      </c>
      <c r="F281" s="69"/>
      <c r="G281" s="116"/>
      <c r="H281" s="116"/>
      <c r="I281" s="113"/>
      <c r="J281" s="116"/>
      <c r="K281" s="116"/>
    </row>
    <row r="282" spans="1:11" s="18" customFormat="1" x14ac:dyDescent="0.25">
      <c r="A282" s="113" t="s">
        <v>79</v>
      </c>
      <c r="B282" s="113" t="s">
        <v>82</v>
      </c>
      <c r="C282" s="17" t="s">
        <v>13</v>
      </c>
      <c r="D282" s="66">
        <f t="shared" ref="D282" si="68">SUM(D283:D286)</f>
        <v>896.7</v>
      </c>
      <c r="E282" s="36">
        <f>E283+E284+E285+E286</f>
        <v>747.23</v>
      </c>
      <c r="F282" s="69">
        <f t="shared" ref="F282:F289" si="69">E282/D282*100</f>
        <v>83.331102932976464</v>
      </c>
      <c r="G282" s="114" t="s">
        <v>233</v>
      </c>
      <c r="H282" s="114" t="s">
        <v>233</v>
      </c>
      <c r="I282" s="113" t="s">
        <v>217</v>
      </c>
      <c r="J282" s="114" t="s">
        <v>24</v>
      </c>
      <c r="K282" s="114"/>
    </row>
    <row r="283" spans="1:11" s="18" customFormat="1" x14ac:dyDescent="0.25">
      <c r="A283" s="113"/>
      <c r="B283" s="113"/>
      <c r="C283" s="17" t="s">
        <v>14</v>
      </c>
      <c r="D283" s="66">
        <v>896.7</v>
      </c>
      <c r="E283" s="45">
        <v>747.23</v>
      </c>
      <c r="F283" s="69">
        <f t="shared" si="69"/>
        <v>83.331102932976464</v>
      </c>
      <c r="G283" s="115"/>
      <c r="H283" s="115"/>
      <c r="I283" s="113"/>
      <c r="J283" s="115"/>
      <c r="K283" s="115"/>
    </row>
    <row r="284" spans="1:11" s="18" customFormat="1" x14ac:dyDescent="0.25">
      <c r="A284" s="113"/>
      <c r="B284" s="113"/>
      <c r="C284" s="17" t="s">
        <v>16</v>
      </c>
      <c r="D284" s="66">
        <v>0</v>
      </c>
      <c r="E284" s="36">
        <v>0</v>
      </c>
      <c r="F284" s="69"/>
      <c r="G284" s="115"/>
      <c r="H284" s="115"/>
      <c r="I284" s="113"/>
      <c r="J284" s="115"/>
      <c r="K284" s="115"/>
    </row>
    <row r="285" spans="1:11" s="18" customFormat="1" x14ac:dyDescent="0.25">
      <c r="A285" s="113"/>
      <c r="B285" s="113"/>
      <c r="C285" s="17" t="s">
        <v>15</v>
      </c>
      <c r="D285" s="66">
        <v>0</v>
      </c>
      <c r="E285" s="36">
        <v>0</v>
      </c>
      <c r="F285" s="69"/>
      <c r="G285" s="115"/>
      <c r="H285" s="115"/>
      <c r="I285" s="113"/>
      <c r="J285" s="115"/>
      <c r="K285" s="115"/>
    </row>
    <row r="286" spans="1:11" s="18" customFormat="1" ht="40.5" customHeight="1" x14ac:dyDescent="0.25">
      <c r="A286" s="113"/>
      <c r="B286" s="113"/>
      <c r="C286" s="17" t="s">
        <v>17</v>
      </c>
      <c r="D286" s="64">
        <v>0</v>
      </c>
      <c r="E286" s="37">
        <v>0</v>
      </c>
      <c r="F286" s="69"/>
      <c r="G286" s="116"/>
      <c r="H286" s="116"/>
      <c r="I286" s="113"/>
      <c r="J286" s="116"/>
      <c r="K286" s="116"/>
    </row>
    <row r="287" spans="1:11" s="18" customFormat="1" x14ac:dyDescent="0.25">
      <c r="A287" s="113" t="s">
        <v>80</v>
      </c>
      <c r="B287" s="113" t="s">
        <v>160</v>
      </c>
      <c r="C287" s="17" t="s">
        <v>13</v>
      </c>
      <c r="D287" s="66">
        <f t="shared" ref="D287" si="70">SUM(D288:D291)</f>
        <v>6185.7</v>
      </c>
      <c r="E287" s="36">
        <f>E288+E289+E290+E291</f>
        <v>6094.3</v>
      </c>
      <c r="F287" s="69">
        <f t="shared" si="69"/>
        <v>98.522398435100328</v>
      </c>
      <c r="G287" s="114" t="s">
        <v>226</v>
      </c>
      <c r="H287" s="114" t="s">
        <v>226</v>
      </c>
      <c r="I287" s="113" t="s">
        <v>217</v>
      </c>
      <c r="J287" s="114" t="s">
        <v>24</v>
      </c>
      <c r="K287" s="114"/>
    </row>
    <row r="288" spans="1:11" s="18" customFormat="1" x14ac:dyDescent="0.25">
      <c r="A288" s="113"/>
      <c r="B288" s="113"/>
      <c r="C288" s="17" t="s">
        <v>14</v>
      </c>
      <c r="D288" s="66">
        <v>0</v>
      </c>
      <c r="E288" s="36"/>
      <c r="F288" s="69"/>
      <c r="G288" s="115"/>
      <c r="H288" s="115"/>
      <c r="I288" s="113"/>
      <c r="J288" s="115"/>
      <c r="K288" s="115"/>
    </row>
    <row r="289" spans="1:11" s="18" customFormat="1" x14ac:dyDescent="0.25">
      <c r="A289" s="113"/>
      <c r="B289" s="113"/>
      <c r="C289" s="17" t="s">
        <v>16</v>
      </c>
      <c r="D289" s="66">
        <v>6185.7</v>
      </c>
      <c r="E289" s="45">
        <v>6094.3</v>
      </c>
      <c r="F289" s="69">
        <f t="shared" si="69"/>
        <v>98.522398435100328</v>
      </c>
      <c r="G289" s="115"/>
      <c r="H289" s="115"/>
      <c r="I289" s="113"/>
      <c r="J289" s="115"/>
      <c r="K289" s="115"/>
    </row>
    <row r="290" spans="1:11" s="18" customFormat="1" x14ac:dyDescent="0.25">
      <c r="A290" s="113"/>
      <c r="B290" s="113"/>
      <c r="C290" s="17" t="s">
        <v>15</v>
      </c>
      <c r="D290" s="66">
        <v>0</v>
      </c>
      <c r="E290" s="36">
        <v>0</v>
      </c>
      <c r="F290" s="69"/>
      <c r="G290" s="115"/>
      <c r="H290" s="115"/>
      <c r="I290" s="113"/>
      <c r="J290" s="115"/>
      <c r="K290" s="115"/>
    </row>
    <row r="291" spans="1:11" s="18" customFormat="1" ht="99" customHeight="1" x14ac:dyDescent="0.25">
      <c r="A291" s="113"/>
      <c r="B291" s="113"/>
      <c r="C291" s="17" t="s">
        <v>17</v>
      </c>
      <c r="D291" s="64">
        <v>0</v>
      </c>
      <c r="E291" s="37">
        <v>0</v>
      </c>
      <c r="F291" s="69"/>
      <c r="G291" s="116"/>
      <c r="H291" s="116"/>
      <c r="I291" s="113"/>
      <c r="J291" s="116"/>
      <c r="K291" s="116"/>
    </row>
    <row r="292" spans="1:11" ht="15" customHeight="1" x14ac:dyDescent="0.25">
      <c r="A292" s="113" t="s">
        <v>161</v>
      </c>
      <c r="B292" s="113" t="s">
        <v>163</v>
      </c>
      <c r="C292" s="17" t="s">
        <v>13</v>
      </c>
      <c r="D292" s="66">
        <f t="shared" ref="D292" si="71">SUM(D293:D296)</f>
        <v>136</v>
      </c>
      <c r="E292" s="36">
        <f>E293+E294+E295+E296</f>
        <v>100.24</v>
      </c>
      <c r="F292" s="69">
        <f>E292/D292*100</f>
        <v>73.705882352941174</v>
      </c>
      <c r="G292" s="114" t="s">
        <v>226</v>
      </c>
      <c r="H292" s="114" t="s">
        <v>226</v>
      </c>
      <c r="I292" s="113" t="s">
        <v>217</v>
      </c>
      <c r="J292" s="114" t="s">
        <v>24</v>
      </c>
      <c r="K292" s="114"/>
    </row>
    <row r="293" spans="1:11" x14ac:dyDescent="0.25">
      <c r="A293" s="113"/>
      <c r="B293" s="113"/>
      <c r="C293" s="17" t="s">
        <v>14</v>
      </c>
      <c r="D293" s="66">
        <v>0</v>
      </c>
      <c r="E293" s="36">
        <v>0</v>
      </c>
      <c r="F293" s="69"/>
      <c r="G293" s="115"/>
      <c r="H293" s="115"/>
      <c r="I293" s="113"/>
      <c r="J293" s="115"/>
      <c r="K293" s="115"/>
    </row>
    <row r="294" spans="1:11" x14ac:dyDescent="0.25">
      <c r="A294" s="113"/>
      <c r="B294" s="113"/>
      <c r="C294" s="17" t="s">
        <v>16</v>
      </c>
      <c r="D294" s="66">
        <v>136</v>
      </c>
      <c r="E294" s="45">
        <v>100.24</v>
      </c>
      <c r="F294" s="69">
        <f>E294/D294*100</f>
        <v>73.705882352941174</v>
      </c>
      <c r="G294" s="115"/>
      <c r="H294" s="115"/>
      <c r="I294" s="113"/>
      <c r="J294" s="115"/>
      <c r="K294" s="115"/>
    </row>
    <row r="295" spans="1:11" x14ac:dyDescent="0.25">
      <c r="A295" s="113"/>
      <c r="B295" s="113"/>
      <c r="C295" s="17" t="s">
        <v>15</v>
      </c>
      <c r="D295" s="66">
        <v>0</v>
      </c>
      <c r="E295" s="36">
        <v>0</v>
      </c>
      <c r="F295" s="69"/>
      <c r="G295" s="115"/>
      <c r="H295" s="115"/>
      <c r="I295" s="113"/>
      <c r="J295" s="115"/>
      <c r="K295" s="115"/>
    </row>
    <row r="296" spans="1:11" ht="30" customHeight="1" x14ac:dyDescent="0.25">
      <c r="A296" s="113"/>
      <c r="B296" s="113"/>
      <c r="C296" s="17" t="s">
        <v>17</v>
      </c>
      <c r="D296" s="66">
        <v>0</v>
      </c>
      <c r="E296" s="36">
        <v>0</v>
      </c>
      <c r="F296" s="69"/>
      <c r="G296" s="116"/>
      <c r="H296" s="116"/>
      <c r="I296" s="113"/>
      <c r="J296" s="116"/>
      <c r="K296" s="116"/>
    </row>
    <row r="297" spans="1:11" x14ac:dyDescent="0.25">
      <c r="A297" s="113" t="s">
        <v>162</v>
      </c>
      <c r="B297" s="113" t="s">
        <v>138</v>
      </c>
      <c r="C297" s="17" t="s">
        <v>13</v>
      </c>
      <c r="D297" s="66">
        <f t="shared" ref="D297" si="72">SUM(D298:D301)</f>
        <v>256</v>
      </c>
      <c r="E297" s="36">
        <f>E298+E299+E300+E301</f>
        <v>219.63</v>
      </c>
      <c r="F297" s="69">
        <f>E297/D297*100</f>
        <v>85.79296875</v>
      </c>
      <c r="G297" s="114" t="s">
        <v>226</v>
      </c>
      <c r="H297" s="114" t="s">
        <v>226</v>
      </c>
      <c r="I297" s="113" t="s">
        <v>217</v>
      </c>
      <c r="J297" s="114" t="s">
        <v>24</v>
      </c>
      <c r="K297" s="114"/>
    </row>
    <row r="298" spans="1:11" x14ac:dyDescent="0.25">
      <c r="A298" s="113"/>
      <c r="B298" s="113"/>
      <c r="C298" s="17" t="s">
        <v>14</v>
      </c>
      <c r="D298" s="66">
        <v>0</v>
      </c>
      <c r="E298" s="36">
        <v>0</v>
      </c>
      <c r="F298" s="69"/>
      <c r="G298" s="115"/>
      <c r="H298" s="115"/>
      <c r="I298" s="113"/>
      <c r="J298" s="115"/>
      <c r="K298" s="115"/>
    </row>
    <row r="299" spans="1:11" x14ac:dyDescent="0.25">
      <c r="A299" s="113"/>
      <c r="B299" s="113"/>
      <c r="C299" s="17" t="s">
        <v>16</v>
      </c>
      <c r="D299" s="66">
        <v>256</v>
      </c>
      <c r="E299" s="45">
        <v>219.63</v>
      </c>
      <c r="F299" s="69">
        <f>E299/D299*100</f>
        <v>85.79296875</v>
      </c>
      <c r="G299" s="115"/>
      <c r="H299" s="115"/>
      <c r="I299" s="113"/>
      <c r="J299" s="115"/>
      <c r="K299" s="115"/>
    </row>
    <row r="300" spans="1:11" x14ac:dyDescent="0.25">
      <c r="A300" s="113"/>
      <c r="B300" s="113"/>
      <c r="C300" s="17" t="s">
        <v>15</v>
      </c>
      <c r="D300" s="66">
        <v>0</v>
      </c>
      <c r="E300" s="36">
        <v>0</v>
      </c>
      <c r="F300" s="69"/>
      <c r="G300" s="115"/>
      <c r="H300" s="115"/>
      <c r="I300" s="113"/>
      <c r="J300" s="115"/>
      <c r="K300" s="115"/>
    </row>
    <row r="301" spans="1:11" ht="75" customHeight="1" x14ac:dyDescent="0.25">
      <c r="A301" s="113"/>
      <c r="B301" s="113"/>
      <c r="C301" s="17" t="s">
        <v>17</v>
      </c>
      <c r="D301" s="64">
        <v>0</v>
      </c>
      <c r="E301" s="37">
        <v>0</v>
      </c>
      <c r="F301" s="69"/>
      <c r="G301" s="116"/>
      <c r="H301" s="116"/>
      <c r="I301" s="113"/>
      <c r="J301" s="116"/>
      <c r="K301" s="116"/>
    </row>
  </sheetData>
  <mergeCells count="365">
    <mergeCell ref="A107:A111"/>
    <mergeCell ref="B107:B111"/>
    <mergeCell ref="I107:I111"/>
    <mergeCell ref="J107:J111"/>
    <mergeCell ref="G67:G76"/>
    <mergeCell ref="H67:H76"/>
    <mergeCell ref="A172:A176"/>
    <mergeCell ref="B172:B176"/>
    <mergeCell ref="G172:G176"/>
    <mergeCell ref="H172:H176"/>
    <mergeCell ref="A117:A121"/>
    <mergeCell ref="B117:B121"/>
    <mergeCell ref="A152:A156"/>
    <mergeCell ref="B152:B156"/>
    <mergeCell ref="I172:I176"/>
    <mergeCell ref="J172:J176"/>
    <mergeCell ref="J157:J161"/>
    <mergeCell ref="G152:G156"/>
    <mergeCell ref="H152:H156"/>
    <mergeCell ref="I152:I156"/>
    <mergeCell ref="J152:J156"/>
    <mergeCell ref="G117:G121"/>
    <mergeCell ref="J117:J121"/>
    <mergeCell ref="G92:G96"/>
    <mergeCell ref="A287:A291"/>
    <mergeCell ref="G287:G291"/>
    <mergeCell ref="H287:H291"/>
    <mergeCell ref="A217:A221"/>
    <mergeCell ref="B217:B221"/>
    <mergeCell ref="G217:G221"/>
    <mergeCell ref="H252:H256"/>
    <mergeCell ref="A197:A201"/>
    <mergeCell ref="B197:B201"/>
    <mergeCell ref="G197:G201"/>
    <mergeCell ref="A232:A236"/>
    <mergeCell ref="B232:B236"/>
    <mergeCell ref="G232:G236"/>
    <mergeCell ref="G212:G216"/>
    <mergeCell ref="H212:H216"/>
    <mergeCell ref="G262:G266"/>
    <mergeCell ref="H257:H261"/>
    <mergeCell ref="H262:H266"/>
    <mergeCell ref="H292:H296"/>
    <mergeCell ref="I292:I296"/>
    <mergeCell ref="A222:A226"/>
    <mergeCell ref="B222:B226"/>
    <mergeCell ref="G222:G226"/>
    <mergeCell ref="H222:H226"/>
    <mergeCell ref="I222:I226"/>
    <mergeCell ref="J222:J226"/>
    <mergeCell ref="K222:K226"/>
    <mergeCell ref="A237:A241"/>
    <mergeCell ref="B237:B241"/>
    <mergeCell ref="G237:G241"/>
    <mergeCell ref="H237:H241"/>
    <mergeCell ref="I237:I241"/>
    <mergeCell ref="J237:J241"/>
    <mergeCell ref="K237:K241"/>
    <mergeCell ref="A272:A276"/>
    <mergeCell ref="A267:A271"/>
    <mergeCell ref="K247:K251"/>
    <mergeCell ref="A252:A256"/>
    <mergeCell ref="B252:B256"/>
    <mergeCell ref="G252:G256"/>
    <mergeCell ref="B262:B266"/>
    <mergeCell ref="A262:A266"/>
    <mergeCell ref="A202:A206"/>
    <mergeCell ref="B202:B206"/>
    <mergeCell ref="G202:G206"/>
    <mergeCell ref="H202:H206"/>
    <mergeCell ref="I202:I206"/>
    <mergeCell ref="J202:J206"/>
    <mergeCell ref="K202:K206"/>
    <mergeCell ref="K232:K236"/>
    <mergeCell ref="A227:A231"/>
    <mergeCell ref="B227:B231"/>
    <mergeCell ref="G227:G231"/>
    <mergeCell ref="J227:J231"/>
    <mergeCell ref="K227:K231"/>
    <mergeCell ref="A207:A211"/>
    <mergeCell ref="B207:B211"/>
    <mergeCell ref="G207:G211"/>
    <mergeCell ref="J207:J211"/>
    <mergeCell ref="I212:I216"/>
    <mergeCell ref="K207:K211"/>
    <mergeCell ref="A212:A216"/>
    <mergeCell ref="B212:B216"/>
    <mergeCell ref="G192:G196"/>
    <mergeCell ref="H192:H196"/>
    <mergeCell ref="I192:I196"/>
    <mergeCell ref="J192:J196"/>
    <mergeCell ref="K192:K196"/>
    <mergeCell ref="J197:J201"/>
    <mergeCell ref="K197:K201"/>
    <mergeCell ref="J232:J236"/>
    <mergeCell ref="J217:J221"/>
    <mergeCell ref="K217:K221"/>
    <mergeCell ref="K212:K216"/>
    <mergeCell ref="J212:J216"/>
    <mergeCell ref="K172:K176"/>
    <mergeCell ref="A187:A191"/>
    <mergeCell ref="B187:B191"/>
    <mergeCell ref="G187:G191"/>
    <mergeCell ref="J187:J191"/>
    <mergeCell ref="K187:K191"/>
    <mergeCell ref="A177:A181"/>
    <mergeCell ref="B177:B181"/>
    <mergeCell ref="G177:G181"/>
    <mergeCell ref="H177:H181"/>
    <mergeCell ref="I177:I181"/>
    <mergeCell ref="J177:J181"/>
    <mergeCell ref="K177:K181"/>
    <mergeCell ref="A182:A186"/>
    <mergeCell ref="B182:B186"/>
    <mergeCell ref="G182:G186"/>
    <mergeCell ref="H182:H186"/>
    <mergeCell ref="I182:I186"/>
    <mergeCell ref="J182:J186"/>
    <mergeCell ref="K182:K186"/>
    <mergeCell ref="A192:A196"/>
    <mergeCell ref="B192:B196"/>
    <mergeCell ref="K157:K161"/>
    <mergeCell ref="A162:A166"/>
    <mergeCell ref="B162:B166"/>
    <mergeCell ref="G162:G166"/>
    <mergeCell ref="J162:J166"/>
    <mergeCell ref="K162:K166"/>
    <mergeCell ref="A167:A171"/>
    <mergeCell ref="B167:B171"/>
    <mergeCell ref="G167:G171"/>
    <mergeCell ref="H167:H171"/>
    <mergeCell ref="I167:I171"/>
    <mergeCell ref="J167:J171"/>
    <mergeCell ref="K167:K171"/>
    <mergeCell ref="A157:A161"/>
    <mergeCell ref="B157:B161"/>
    <mergeCell ref="G157:G161"/>
    <mergeCell ref="H157:H161"/>
    <mergeCell ref="I157:I161"/>
    <mergeCell ref="K152:K156"/>
    <mergeCell ref="A137:A141"/>
    <mergeCell ref="B137:B141"/>
    <mergeCell ref="G137:G141"/>
    <mergeCell ref="J137:J141"/>
    <mergeCell ref="K137:K141"/>
    <mergeCell ref="H137:H141"/>
    <mergeCell ref="I137:I141"/>
    <mergeCell ref="A142:A146"/>
    <mergeCell ref="B142:B146"/>
    <mergeCell ref="G142:G146"/>
    <mergeCell ref="J142:J146"/>
    <mergeCell ref="K142:K146"/>
    <mergeCell ref="A147:A151"/>
    <mergeCell ref="B147:B151"/>
    <mergeCell ref="G147:G151"/>
    <mergeCell ref="H147:H151"/>
    <mergeCell ref="I147:I151"/>
    <mergeCell ref="J147:J151"/>
    <mergeCell ref="K147:K151"/>
    <mergeCell ref="K117:K121"/>
    <mergeCell ref="A132:A136"/>
    <mergeCell ref="B132:B136"/>
    <mergeCell ref="G132:G136"/>
    <mergeCell ref="J132:J136"/>
    <mergeCell ref="K132:K136"/>
    <mergeCell ref="H132:H136"/>
    <mergeCell ref="I132:I136"/>
    <mergeCell ref="A122:A126"/>
    <mergeCell ref="B122:B126"/>
    <mergeCell ref="G122:G126"/>
    <mergeCell ref="H122:H126"/>
    <mergeCell ref="I122:I126"/>
    <mergeCell ref="J122:J126"/>
    <mergeCell ref="K122:K126"/>
    <mergeCell ref="A127:A131"/>
    <mergeCell ref="B127:B131"/>
    <mergeCell ref="G127:G131"/>
    <mergeCell ref="H127:H131"/>
    <mergeCell ref="I127:I131"/>
    <mergeCell ref="J127:J131"/>
    <mergeCell ref="K127:K131"/>
    <mergeCell ref="A102:A106"/>
    <mergeCell ref="B102:B106"/>
    <mergeCell ref="I102:I106"/>
    <mergeCell ref="J102:J106"/>
    <mergeCell ref="K102:K106"/>
    <mergeCell ref="A97:A101"/>
    <mergeCell ref="B97:B101"/>
    <mergeCell ref="I97:I101"/>
    <mergeCell ref="J97:J101"/>
    <mergeCell ref="K97:K101"/>
    <mergeCell ref="J42:J46"/>
    <mergeCell ref="K32:K36"/>
    <mergeCell ref="K37:K41"/>
    <mergeCell ref="K42:K46"/>
    <mergeCell ref="A52:A56"/>
    <mergeCell ref="B52:B56"/>
    <mergeCell ref="H92:H96"/>
    <mergeCell ref="I92:I96"/>
    <mergeCell ref="J92:J96"/>
    <mergeCell ref="K92:K96"/>
    <mergeCell ref="K82:K86"/>
    <mergeCell ref="A87:A91"/>
    <mergeCell ref="B87:B91"/>
    <mergeCell ref="G87:G91"/>
    <mergeCell ref="H87:H91"/>
    <mergeCell ref="I87:I91"/>
    <mergeCell ref="J87:J91"/>
    <mergeCell ref="K87:K91"/>
    <mergeCell ref="A67:A71"/>
    <mergeCell ref="B67:B71"/>
    <mergeCell ref="J67:J71"/>
    <mergeCell ref="A1:K1"/>
    <mergeCell ref="A2:K2"/>
    <mergeCell ref="A3:K3"/>
    <mergeCell ref="A72:A76"/>
    <mergeCell ref="B72:B76"/>
    <mergeCell ref="J282:J286"/>
    <mergeCell ref="K282:K286"/>
    <mergeCell ref="K297:K301"/>
    <mergeCell ref="A282:A286"/>
    <mergeCell ref="B282:B286"/>
    <mergeCell ref="G282:G286"/>
    <mergeCell ref="B292:B296"/>
    <mergeCell ref="A292:A296"/>
    <mergeCell ref="G292:G296"/>
    <mergeCell ref="J292:J296"/>
    <mergeCell ref="K292:K296"/>
    <mergeCell ref="A297:A301"/>
    <mergeCell ref="B297:B301"/>
    <mergeCell ref="G297:G301"/>
    <mergeCell ref="H297:H301"/>
    <mergeCell ref="I297:I301"/>
    <mergeCell ref="J297:J301"/>
    <mergeCell ref="A277:A281"/>
    <mergeCell ref="I287:I291"/>
    <mergeCell ref="J287:J291"/>
    <mergeCell ref="K287:K291"/>
    <mergeCell ref="H277:H281"/>
    <mergeCell ref="I277:I281"/>
    <mergeCell ref="H282:H286"/>
    <mergeCell ref="I282:I286"/>
    <mergeCell ref="K267:K271"/>
    <mergeCell ref="B272:B276"/>
    <mergeCell ref="K277:K281"/>
    <mergeCell ref="B287:B291"/>
    <mergeCell ref="G272:G276"/>
    <mergeCell ref="J272:J276"/>
    <mergeCell ref="K272:K276"/>
    <mergeCell ref="B267:B271"/>
    <mergeCell ref="G267:G271"/>
    <mergeCell ref="J267:J271"/>
    <mergeCell ref="B277:B281"/>
    <mergeCell ref="J277:J281"/>
    <mergeCell ref="G277:G281"/>
    <mergeCell ref="J257:J261"/>
    <mergeCell ref="I257:I261"/>
    <mergeCell ref="A242:A246"/>
    <mergeCell ref="B242:B246"/>
    <mergeCell ref="G242:G246"/>
    <mergeCell ref="H242:H246"/>
    <mergeCell ref="I242:I246"/>
    <mergeCell ref="J242:J246"/>
    <mergeCell ref="K242:K246"/>
    <mergeCell ref="H247:H251"/>
    <mergeCell ref="I247:I251"/>
    <mergeCell ref="K252:K256"/>
    <mergeCell ref="B247:B251"/>
    <mergeCell ref="A247:A251"/>
    <mergeCell ref="G247:G251"/>
    <mergeCell ref="J247:J251"/>
    <mergeCell ref="K257:K266"/>
    <mergeCell ref="J262:J266"/>
    <mergeCell ref="I262:I266"/>
    <mergeCell ref="B257:B261"/>
    <mergeCell ref="A257:A261"/>
    <mergeCell ref="I252:I256"/>
    <mergeCell ref="J252:J256"/>
    <mergeCell ref="G257:G261"/>
    <mergeCell ref="A112:A116"/>
    <mergeCell ref="B112:B116"/>
    <mergeCell ref="G112:G116"/>
    <mergeCell ref="J112:J116"/>
    <mergeCell ref="K112:K116"/>
    <mergeCell ref="I67:I71"/>
    <mergeCell ref="J72:J76"/>
    <mergeCell ref="I72:I76"/>
    <mergeCell ref="A77:A81"/>
    <mergeCell ref="B77:B81"/>
    <mergeCell ref="G77:G81"/>
    <mergeCell ref="J77:J81"/>
    <mergeCell ref="K77:K81"/>
    <mergeCell ref="A82:A86"/>
    <mergeCell ref="B82:B86"/>
    <mergeCell ref="G82:G86"/>
    <mergeCell ref="H82:H86"/>
    <mergeCell ref="I82:I86"/>
    <mergeCell ref="J82:J86"/>
    <mergeCell ref="A92:A96"/>
    <mergeCell ref="B92:B96"/>
    <mergeCell ref="K52:K76"/>
    <mergeCell ref="G97:G111"/>
    <mergeCell ref="H97:H111"/>
    <mergeCell ref="G52:G56"/>
    <mergeCell ref="A62:A66"/>
    <mergeCell ref="B62:B66"/>
    <mergeCell ref="G62:G66"/>
    <mergeCell ref="J62:J66"/>
    <mergeCell ref="H62:H66"/>
    <mergeCell ref="I62:I66"/>
    <mergeCell ref="J52:J56"/>
    <mergeCell ref="A57:A61"/>
    <mergeCell ref="B57:B61"/>
    <mergeCell ref="G57:G61"/>
    <mergeCell ref="H57:H61"/>
    <mergeCell ref="I57:I61"/>
    <mergeCell ref="J57:J61"/>
    <mergeCell ref="C5:E5"/>
    <mergeCell ref="G5:I5"/>
    <mergeCell ref="K5:K6"/>
    <mergeCell ref="A5:A6"/>
    <mergeCell ref="B5:B6"/>
    <mergeCell ref="F5:F6"/>
    <mergeCell ref="J5:J6"/>
    <mergeCell ref="A32:A36"/>
    <mergeCell ref="B32:B36"/>
    <mergeCell ref="G32:G36"/>
    <mergeCell ref="J32:J36"/>
    <mergeCell ref="A12:A16"/>
    <mergeCell ref="B12:B16"/>
    <mergeCell ref="G12:G16"/>
    <mergeCell ref="J12:J16"/>
    <mergeCell ref="K12:K16"/>
    <mergeCell ref="A17:A21"/>
    <mergeCell ref="B17:B21"/>
    <mergeCell ref="G17:G21"/>
    <mergeCell ref="J17:J21"/>
    <mergeCell ref="K17:K21"/>
    <mergeCell ref="A22:A26"/>
    <mergeCell ref="B22:B26"/>
    <mergeCell ref="G22:G26"/>
    <mergeCell ref="G47:G51"/>
    <mergeCell ref="K47:K51"/>
    <mergeCell ref="B47:B51"/>
    <mergeCell ref="A47:A51"/>
    <mergeCell ref="J47:J51"/>
    <mergeCell ref="G37:G41"/>
    <mergeCell ref="G42:G46"/>
    <mergeCell ref="J37:J41"/>
    <mergeCell ref="B7:B11"/>
    <mergeCell ref="A7:A11"/>
    <mergeCell ref="G7:G11"/>
    <mergeCell ref="J7:J11"/>
    <mergeCell ref="K7:K11"/>
    <mergeCell ref="A37:A41"/>
    <mergeCell ref="B37:B41"/>
    <mergeCell ref="A42:A46"/>
    <mergeCell ref="B42:B46"/>
    <mergeCell ref="J22:J26"/>
    <mergeCell ref="K22:K26"/>
    <mergeCell ref="A27:A31"/>
    <mergeCell ref="B27:B31"/>
    <mergeCell ref="G27:G31"/>
    <mergeCell ref="J27:J31"/>
    <mergeCell ref="K27:K31"/>
  </mergeCells>
  <pageMargins left="0.25" right="0.25"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37"/>
  <sheetViews>
    <sheetView zoomScale="90" zoomScaleNormal="90" workbookViewId="0">
      <pane ySplit="6" topLeftCell="A25" activePane="bottomLeft" state="frozen"/>
      <selection pane="bottomLeft" activeCell="G26" sqref="G26"/>
    </sheetView>
  </sheetViews>
  <sheetFormatPr defaultColWidth="8.85546875" defaultRowHeight="15" x14ac:dyDescent="0.25"/>
  <cols>
    <col min="1" max="1" width="4.7109375" style="26" customWidth="1"/>
    <col min="2" max="2" width="40.42578125" style="26" customWidth="1"/>
    <col min="3" max="3" width="6.140625" style="26" customWidth="1"/>
    <col min="4" max="5" width="9" style="26" bestFit="1" customWidth="1"/>
    <col min="6" max="6" width="9.28515625" style="26" bestFit="1" customWidth="1"/>
    <col min="7" max="7" width="8.85546875" style="26"/>
    <col min="8" max="8" width="13.85546875" style="90" customWidth="1"/>
    <col min="9" max="9" width="12.85546875" style="26" customWidth="1"/>
    <col min="10" max="10" width="36.5703125" style="26" customWidth="1"/>
    <col min="11" max="11" width="58.85546875" style="26" customWidth="1"/>
    <col min="12" max="12" width="14.140625" style="26" customWidth="1"/>
    <col min="13" max="13" width="12.85546875" style="26" customWidth="1"/>
    <col min="14" max="14" width="17.140625" style="26" customWidth="1"/>
    <col min="15" max="16384" width="8.85546875" style="26"/>
  </cols>
  <sheetData>
    <row r="1" spans="1:14" ht="14.45" customHeight="1" x14ac:dyDescent="0.25">
      <c r="A1" s="149" t="s">
        <v>58</v>
      </c>
      <c r="B1" s="149"/>
      <c r="C1" s="149"/>
      <c r="D1" s="149"/>
      <c r="E1" s="149"/>
      <c r="F1" s="149"/>
      <c r="G1" s="149"/>
      <c r="H1" s="149"/>
      <c r="I1" s="149"/>
      <c r="J1" s="149"/>
      <c r="K1" s="149"/>
      <c r="L1" s="149"/>
      <c r="M1" s="149"/>
      <c r="N1" s="149"/>
    </row>
    <row r="2" spans="1:14" x14ac:dyDescent="0.25">
      <c r="A2" s="149" t="s">
        <v>241</v>
      </c>
      <c r="B2" s="149"/>
      <c r="C2" s="149"/>
      <c r="D2" s="149"/>
      <c r="E2" s="149"/>
      <c r="F2" s="149"/>
      <c r="G2" s="149"/>
      <c r="H2" s="149"/>
      <c r="I2" s="149"/>
      <c r="J2" s="149"/>
      <c r="K2" s="149"/>
      <c r="L2" s="149"/>
      <c r="M2" s="149"/>
      <c r="N2" s="149"/>
    </row>
    <row r="4" spans="1:14" ht="28.9" customHeight="1" x14ac:dyDescent="0.25">
      <c r="A4" s="107" t="s">
        <v>0</v>
      </c>
      <c r="B4" s="107" t="s">
        <v>36</v>
      </c>
      <c r="C4" s="107" t="s">
        <v>37</v>
      </c>
      <c r="D4" s="107" t="s">
        <v>38</v>
      </c>
      <c r="E4" s="107" t="s">
        <v>39</v>
      </c>
      <c r="F4" s="107"/>
      <c r="G4" s="107"/>
      <c r="H4" s="150" t="s">
        <v>42</v>
      </c>
      <c r="I4" s="107" t="s">
        <v>56</v>
      </c>
      <c r="J4" s="107" t="s">
        <v>43</v>
      </c>
      <c r="K4" s="107" t="s">
        <v>44</v>
      </c>
      <c r="L4" s="107" t="s">
        <v>57</v>
      </c>
      <c r="M4" s="107" t="s">
        <v>45</v>
      </c>
      <c r="N4" s="107" t="s">
        <v>46</v>
      </c>
    </row>
    <row r="5" spans="1:14" x14ac:dyDescent="0.25">
      <c r="A5" s="107"/>
      <c r="B5" s="107"/>
      <c r="C5" s="107"/>
      <c r="D5" s="107"/>
      <c r="E5" s="85">
        <v>2023</v>
      </c>
      <c r="F5" s="107">
        <v>2024</v>
      </c>
      <c r="G5" s="107"/>
      <c r="H5" s="150"/>
      <c r="I5" s="107"/>
      <c r="J5" s="107"/>
      <c r="K5" s="107"/>
      <c r="L5" s="107"/>
      <c r="M5" s="107"/>
      <c r="N5" s="107"/>
    </row>
    <row r="6" spans="1:14" ht="62.25" customHeight="1" x14ac:dyDescent="0.25">
      <c r="A6" s="107"/>
      <c r="B6" s="107"/>
      <c r="C6" s="107"/>
      <c r="D6" s="107"/>
      <c r="E6" s="42" t="s">
        <v>40</v>
      </c>
      <c r="F6" s="42" t="s">
        <v>41</v>
      </c>
      <c r="G6" s="42" t="s">
        <v>40</v>
      </c>
      <c r="H6" s="150"/>
      <c r="I6" s="107"/>
      <c r="J6" s="107"/>
      <c r="K6" s="107"/>
      <c r="L6" s="107"/>
      <c r="M6" s="107"/>
      <c r="N6" s="107"/>
    </row>
    <row r="7" spans="1:14" s="87" customFormat="1" ht="55.9" customHeight="1" x14ac:dyDescent="0.2">
      <c r="A7" s="28"/>
      <c r="B7" s="28" t="s">
        <v>166</v>
      </c>
      <c r="C7" s="28"/>
      <c r="D7" s="28"/>
      <c r="E7" s="28"/>
      <c r="F7" s="28"/>
      <c r="G7" s="28"/>
      <c r="H7" s="86"/>
      <c r="I7" s="28"/>
      <c r="J7" s="27"/>
      <c r="K7" s="27"/>
      <c r="L7" s="27"/>
      <c r="M7" s="78">
        <f>AVERAGE(M8:M13)</f>
        <v>100</v>
      </c>
      <c r="N7" s="78">
        <f>AVERAGE(N10,N12,N33:N34,N36)</f>
        <v>100</v>
      </c>
    </row>
    <row r="8" spans="1:14" ht="75" x14ac:dyDescent="0.25">
      <c r="A8" s="21" t="s">
        <v>47</v>
      </c>
      <c r="B8" s="21" t="s">
        <v>168</v>
      </c>
      <c r="C8" s="21" t="s">
        <v>84</v>
      </c>
      <c r="D8" s="21">
        <v>0</v>
      </c>
      <c r="E8" s="21">
        <v>94</v>
      </c>
      <c r="F8" s="21">
        <v>94</v>
      </c>
      <c r="G8" s="21">
        <v>94</v>
      </c>
      <c r="H8" s="88">
        <f t="shared" ref="H8:H13" si="0">G8/F8*100</f>
        <v>100</v>
      </c>
      <c r="I8" s="88">
        <f t="shared" ref="I8:I13" si="1">G8/E8*100</f>
        <v>100</v>
      </c>
      <c r="J8" s="73"/>
      <c r="K8" s="73"/>
      <c r="L8" s="42" t="s">
        <v>89</v>
      </c>
      <c r="M8" s="79">
        <f t="shared" ref="M8:M13" si="2">MIN(G8/F8*100, 100)</f>
        <v>100</v>
      </c>
      <c r="N8" s="79" t="str">
        <f>IF(D8&lt;&gt;0,MIN(I8,100),"-")</f>
        <v>-</v>
      </c>
    </row>
    <row r="9" spans="1:14" ht="133.5" customHeight="1" x14ac:dyDescent="0.25">
      <c r="A9" s="21" t="s">
        <v>48</v>
      </c>
      <c r="B9" s="21" t="s">
        <v>169</v>
      </c>
      <c r="C9" s="21" t="s">
        <v>84</v>
      </c>
      <c r="D9" s="21">
        <v>0</v>
      </c>
      <c r="E9" s="21">
        <v>100</v>
      </c>
      <c r="F9" s="21">
        <v>100</v>
      </c>
      <c r="G9" s="89">
        <v>100</v>
      </c>
      <c r="H9" s="88">
        <f t="shared" si="0"/>
        <v>100</v>
      </c>
      <c r="I9" s="88">
        <f t="shared" si="1"/>
        <v>100</v>
      </c>
      <c r="J9" s="73"/>
      <c r="K9" s="73"/>
      <c r="L9" s="42" t="s">
        <v>89</v>
      </c>
      <c r="M9" s="79">
        <f t="shared" si="2"/>
        <v>100</v>
      </c>
      <c r="N9" s="79" t="str">
        <f t="shared" ref="N9:N37" si="3">IF(D9&lt;&gt;0,MIN(I9,100),"-")</f>
        <v>-</v>
      </c>
    </row>
    <row r="10" spans="1:14" ht="49.5" customHeight="1" x14ac:dyDescent="0.25">
      <c r="A10" s="21" t="s">
        <v>49</v>
      </c>
      <c r="B10" s="21" t="s">
        <v>170</v>
      </c>
      <c r="C10" s="21" t="s">
        <v>171</v>
      </c>
      <c r="D10" s="21">
        <v>1</v>
      </c>
      <c r="E10" s="21">
        <v>3537</v>
      </c>
      <c r="F10" s="21">
        <v>3537</v>
      </c>
      <c r="G10" s="21">
        <v>3537</v>
      </c>
      <c r="H10" s="88">
        <f t="shared" si="0"/>
        <v>100</v>
      </c>
      <c r="I10" s="88">
        <f t="shared" si="1"/>
        <v>100</v>
      </c>
      <c r="J10" s="73"/>
      <c r="K10" s="73"/>
      <c r="L10" s="42" t="s">
        <v>175</v>
      </c>
      <c r="M10" s="79">
        <f t="shared" si="2"/>
        <v>100</v>
      </c>
      <c r="N10" s="79">
        <f t="shared" si="3"/>
        <v>100</v>
      </c>
    </row>
    <row r="11" spans="1:14" ht="110.25" customHeight="1" x14ac:dyDescent="0.25">
      <c r="A11" s="21" t="s">
        <v>50</v>
      </c>
      <c r="B11" s="21" t="s">
        <v>172</v>
      </c>
      <c r="C11" s="21" t="s">
        <v>84</v>
      </c>
      <c r="D11" s="21">
        <v>0</v>
      </c>
      <c r="E11" s="21">
        <v>100</v>
      </c>
      <c r="F11" s="21">
        <v>100</v>
      </c>
      <c r="G11" s="21">
        <v>100</v>
      </c>
      <c r="H11" s="88">
        <f t="shared" si="0"/>
        <v>100</v>
      </c>
      <c r="I11" s="88">
        <f t="shared" si="1"/>
        <v>100</v>
      </c>
      <c r="J11" s="73"/>
      <c r="K11" s="73"/>
      <c r="L11" s="42" t="s">
        <v>93</v>
      </c>
      <c r="M11" s="79">
        <f t="shared" si="2"/>
        <v>100</v>
      </c>
      <c r="N11" s="79" t="str">
        <f t="shared" si="3"/>
        <v>-</v>
      </c>
    </row>
    <row r="12" spans="1:14" ht="90" x14ac:dyDescent="0.25">
      <c r="A12" s="21" t="s">
        <v>51</v>
      </c>
      <c r="B12" s="21" t="s">
        <v>173</v>
      </c>
      <c r="C12" s="21" t="s">
        <v>180</v>
      </c>
      <c r="D12" s="21">
        <v>1</v>
      </c>
      <c r="E12" s="21">
        <v>62</v>
      </c>
      <c r="F12" s="21">
        <v>62</v>
      </c>
      <c r="G12" s="21">
        <v>62</v>
      </c>
      <c r="H12" s="88">
        <f t="shared" si="0"/>
        <v>100</v>
      </c>
      <c r="I12" s="88">
        <f t="shared" si="1"/>
        <v>100</v>
      </c>
      <c r="J12" s="73"/>
      <c r="K12" s="73"/>
      <c r="L12" s="42" t="s">
        <v>176</v>
      </c>
      <c r="M12" s="79">
        <f t="shared" si="2"/>
        <v>100</v>
      </c>
      <c r="N12" s="79">
        <f t="shared" si="3"/>
        <v>100</v>
      </c>
    </row>
    <row r="13" spans="1:14" ht="94.5" customHeight="1" x14ac:dyDescent="0.25">
      <c r="A13" s="21" t="s">
        <v>167</v>
      </c>
      <c r="B13" s="21" t="s">
        <v>174</v>
      </c>
      <c r="C13" s="21" t="s">
        <v>84</v>
      </c>
      <c r="D13" s="21">
        <v>0</v>
      </c>
      <c r="E13" s="21">
        <v>100</v>
      </c>
      <c r="F13" s="21">
        <v>100</v>
      </c>
      <c r="G13" s="21">
        <v>100</v>
      </c>
      <c r="H13" s="88">
        <f t="shared" si="0"/>
        <v>100</v>
      </c>
      <c r="I13" s="88">
        <f t="shared" si="1"/>
        <v>100</v>
      </c>
      <c r="J13" s="73"/>
      <c r="K13" s="73"/>
      <c r="L13" s="42" t="s">
        <v>91</v>
      </c>
      <c r="M13" s="79">
        <f t="shared" si="2"/>
        <v>100</v>
      </c>
      <c r="N13" s="79" t="str">
        <f t="shared" si="3"/>
        <v>-</v>
      </c>
    </row>
    <row r="14" spans="1:14" s="87" customFormat="1" ht="63.75" customHeight="1" x14ac:dyDescent="0.2">
      <c r="A14" s="28" t="s">
        <v>25</v>
      </c>
      <c r="B14" s="28" t="s">
        <v>177</v>
      </c>
      <c r="C14" s="28"/>
      <c r="D14" s="28"/>
      <c r="E14" s="28"/>
      <c r="F14" s="28"/>
      <c r="G14" s="28"/>
      <c r="H14" s="88"/>
      <c r="I14" s="88"/>
      <c r="J14" s="77"/>
      <c r="K14" s="77"/>
      <c r="L14" s="43"/>
      <c r="M14" s="78">
        <f>AVERAGE(M15:M20)</f>
        <v>93.875922924636072</v>
      </c>
      <c r="N14" s="78" t="s">
        <v>23</v>
      </c>
    </row>
    <row r="15" spans="1:14" s="87" customFormat="1" ht="99" customHeight="1" x14ac:dyDescent="0.2">
      <c r="A15" s="21" t="s">
        <v>26</v>
      </c>
      <c r="B15" s="21" t="s">
        <v>179</v>
      </c>
      <c r="C15" s="21" t="s">
        <v>171</v>
      </c>
      <c r="D15" s="21">
        <v>0</v>
      </c>
      <c r="E15" s="21">
        <v>336</v>
      </c>
      <c r="F15" s="21">
        <v>358</v>
      </c>
      <c r="G15" s="21">
        <v>336</v>
      </c>
      <c r="H15" s="88">
        <f t="shared" ref="H15:H20" si="4">G15/F15*100</f>
        <v>93.85474860335195</v>
      </c>
      <c r="I15" s="88">
        <f t="shared" ref="I15:I20" si="5">G15/E15*100</f>
        <v>100</v>
      </c>
      <c r="J15" s="73" t="s">
        <v>232</v>
      </c>
      <c r="K15" s="73"/>
      <c r="L15" s="42" t="s">
        <v>89</v>
      </c>
      <c r="M15" s="79">
        <f t="shared" ref="M15:M20" si="6">MIN(G15/F15*100, 100)</f>
        <v>93.85474860335195</v>
      </c>
      <c r="N15" s="79" t="str">
        <f t="shared" si="3"/>
        <v>-</v>
      </c>
    </row>
    <row r="16" spans="1:14" s="87" customFormat="1" ht="93" customHeight="1" x14ac:dyDescent="0.2">
      <c r="A16" s="21" t="s">
        <v>52</v>
      </c>
      <c r="B16" s="21" t="s">
        <v>181</v>
      </c>
      <c r="C16" s="21" t="s">
        <v>171</v>
      </c>
      <c r="D16" s="21">
        <v>0</v>
      </c>
      <c r="E16" s="21">
        <v>261</v>
      </c>
      <c r="F16" s="21">
        <v>264</v>
      </c>
      <c r="G16" s="21">
        <v>261</v>
      </c>
      <c r="H16" s="88">
        <f t="shared" si="4"/>
        <v>98.86363636363636</v>
      </c>
      <c r="I16" s="88">
        <f t="shared" si="5"/>
        <v>100</v>
      </c>
      <c r="J16" s="73" t="s">
        <v>232</v>
      </c>
      <c r="K16" s="73"/>
      <c r="L16" s="42" t="s">
        <v>89</v>
      </c>
      <c r="M16" s="79">
        <f t="shared" si="6"/>
        <v>98.86363636363636</v>
      </c>
      <c r="N16" s="79" t="str">
        <f t="shared" si="3"/>
        <v>-</v>
      </c>
    </row>
    <row r="17" spans="1:14" s="87" customFormat="1" ht="36" customHeight="1" x14ac:dyDescent="0.2">
      <c r="A17" s="21" t="s">
        <v>53</v>
      </c>
      <c r="B17" s="21" t="s">
        <v>182</v>
      </c>
      <c r="C17" s="21" t="s">
        <v>171</v>
      </c>
      <c r="D17" s="21">
        <v>0</v>
      </c>
      <c r="E17" s="21">
        <v>99</v>
      </c>
      <c r="F17" s="21">
        <v>100</v>
      </c>
      <c r="G17" s="21">
        <v>99</v>
      </c>
      <c r="H17" s="88">
        <f t="shared" si="4"/>
        <v>99</v>
      </c>
      <c r="I17" s="88">
        <f t="shared" si="5"/>
        <v>100</v>
      </c>
      <c r="J17" s="73"/>
      <c r="K17" s="73"/>
      <c r="L17" s="42" t="s">
        <v>89</v>
      </c>
      <c r="M17" s="79">
        <f t="shared" si="6"/>
        <v>99</v>
      </c>
      <c r="N17" s="79" t="str">
        <f t="shared" si="3"/>
        <v>-</v>
      </c>
    </row>
    <row r="18" spans="1:14" s="87" customFormat="1" ht="72.75" customHeight="1" x14ac:dyDescent="0.2">
      <c r="A18" s="21" t="s">
        <v>54</v>
      </c>
      <c r="B18" s="21" t="s">
        <v>183</v>
      </c>
      <c r="C18" s="21" t="s">
        <v>171</v>
      </c>
      <c r="D18" s="21">
        <v>0</v>
      </c>
      <c r="E18" s="21">
        <v>402</v>
      </c>
      <c r="F18" s="21">
        <v>430</v>
      </c>
      <c r="G18" s="21">
        <v>402</v>
      </c>
      <c r="H18" s="88">
        <f t="shared" si="4"/>
        <v>93.488372093023258</v>
      </c>
      <c r="I18" s="88">
        <f t="shared" si="5"/>
        <v>100</v>
      </c>
      <c r="J18" s="73" t="s">
        <v>231</v>
      </c>
      <c r="K18" s="73"/>
      <c r="L18" s="42" t="s">
        <v>89</v>
      </c>
      <c r="M18" s="79">
        <f t="shared" si="6"/>
        <v>93.488372093023258</v>
      </c>
      <c r="N18" s="79" t="str">
        <f t="shared" si="3"/>
        <v>-</v>
      </c>
    </row>
    <row r="19" spans="1:14" s="87" customFormat="1" ht="148.5" customHeight="1" x14ac:dyDescent="0.2">
      <c r="A19" s="21" t="s">
        <v>86</v>
      </c>
      <c r="B19" s="21" t="s">
        <v>184</v>
      </c>
      <c r="C19" s="21" t="s">
        <v>171</v>
      </c>
      <c r="D19" s="21">
        <v>0</v>
      </c>
      <c r="E19" s="21">
        <v>128</v>
      </c>
      <c r="F19" s="21">
        <v>164</v>
      </c>
      <c r="G19" s="21">
        <v>128</v>
      </c>
      <c r="H19" s="88">
        <f t="shared" si="4"/>
        <v>78.048780487804876</v>
      </c>
      <c r="I19" s="88">
        <f t="shared" si="5"/>
        <v>100</v>
      </c>
      <c r="J19" s="73" t="s">
        <v>229</v>
      </c>
      <c r="K19" s="73" t="s">
        <v>237</v>
      </c>
      <c r="L19" s="42" t="s">
        <v>90</v>
      </c>
      <c r="M19" s="79">
        <f t="shared" si="6"/>
        <v>78.048780487804876</v>
      </c>
      <c r="N19" s="79" t="str">
        <f t="shared" si="3"/>
        <v>-</v>
      </c>
    </row>
    <row r="20" spans="1:14" ht="104.25" customHeight="1" x14ac:dyDescent="0.25">
      <c r="A20" s="21" t="s">
        <v>178</v>
      </c>
      <c r="B20" s="21" t="s">
        <v>185</v>
      </c>
      <c r="C20" s="21" t="s">
        <v>171</v>
      </c>
      <c r="D20" s="21">
        <v>0</v>
      </c>
      <c r="E20" s="21">
        <v>20</v>
      </c>
      <c r="F20" s="21">
        <v>20</v>
      </c>
      <c r="G20" s="21">
        <v>20</v>
      </c>
      <c r="H20" s="88">
        <f t="shared" si="4"/>
        <v>100</v>
      </c>
      <c r="I20" s="88">
        <f t="shared" si="5"/>
        <v>100</v>
      </c>
      <c r="J20" s="73"/>
      <c r="K20" s="73"/>
      <c r="L20" s="42" t="s">
        <v>200</v>
      </c>
      <c r="M20" s="79">
        <f t="shared" si="6"/>
        <v>100</v>
      </c>
      <c r="N20" s="79" t="str">
        <f t="shared" si="3"/>
        <v>-</v>
      </c>
    </row>
    <row r="21" spans="1:14" s="87" customFormat="1" ht="36" customHeight="1" x14ac:dyDescent="0.2">
      <c r="A21" s="28" t="s">
        <v>55</v>
      </c>
      <c r="B21" s="28" t="s">
        <v>186</v>
      </c>
      <c r="C21" s="28"/>
      <c r="D21" s="28"/>
      <c r="E21" s="28"/>
      <c r="F21" s="28"/>
      <c r="G21" s="28"/>
      <c r="H21" s="88"/>
      <c r="I21" s="88"/>
      <c r="J21" s="77"/>
      <c r="K21" s="77"/>
      <c r="L21" s="43"/>
      <c r="M21" s="78">
        <f>AVERAGE(M22:M31)</f>
        <v>94.243589743589737</v>
      </c>
      <c r="N21" s="78" t="s">
        <v>23</v>
      </c>
    </row>
    <row r="22" spans="1:14" s="87" customFormat="1" ht="33" customHeight="1" x14ac:dyDescent="0.2">
      <c r="A22" s="21" t="s">
        <v>31</v>
      </c>
      <c r="B22" s="21" t="s">
        <v>190</v>
      </c>
      <c r="C22" s="21" t="s">
        <v>171</v>
      </c>
      <c r="D22" s="21">
        <v>0</v>
      </c>
      <c r="E22" s="21">
        <v>150</v>
      </c>
      <c r="F22" s="21">
        <v>50</v>
      </c>
      <c r="G22" s="21">
        <v>50</v>
      </c>
      <c r="H22" s="88">
        <f t="shared" ref="H22:H31" si="7">G22/F22*100</f>
        <v>100</v>
      </c>
      <c r="I22" s="88">
        <f t="shared" ref="I22:I31" si="8">G22/E22*100</f>
        <v>33.333333333333329</v>
      </c>
      <c r="J22" s="73"/>
      <c r="K22" s="73"/>
      <c r="L22" s="42" t="s">
        <v>24</v>
      </c>
      <c r="M22" s="79">
        <f t="shared" ref="M22:M31" si="9">MIN(G22/F22*100, 100)</f>
        <v>100</v>
      </c>
      <c r="N22" s="79" t="str">
        <f t="shared" si="3"/>
        <v>-</v>
      </c>
    </row>
    <row r="23" spans="1:14" s="87" customFormat="1" ht="50.25" customHeight="1" x14ac:dyDescent="0.2">
      <c r="A23" s="21" t="s">
        <v>121</v>
      </c>
      <c r="B23" s="21" t="s">
        <v>191</v>
      </c>
      <c r="C23" s="21" t="s">
        <v>171</v>
      </c>
      <c r="D23" s="21">
        <v>0</v>
      </c>
      <c r="E23" s="21">
        <v>958</v>
      </c>
      <c r="F23" s="21">
        <v>958</v>
      </c>
      <c r="G23" s="21">
        <v>958</v>
      </c>
      <c r="H23" s="88">
        <f t="shared" si="7"/>
        <v>100</v>
      </c>
      <c r="I23" s="88">
        <f t="shared" si="8"/>
        <v>100</v>
      </c>
      <c r="J23" s="73"/>
      <c r="K23" s="73"/>
      <c r="L23" s="42" t="s">
        <v>24</v>
      </c>
      <c r="M23" s="79">
        <f t="shared" si="9"/>
        <v>100</v>
      </c>
      <c r="N23" s="79" t="str">
        <f t="shared" si="3"/>
        <v>-</v>
      </c>
    </row>
    <row r="24" spans="1:14" s="87" customFormat="1" ht="36.75" customHeight="1" x14ac:dyDescent="0.2">
      <c r="A24" s="21" t="s">
        <v>125</v>
      </c>
      <c r="B24" s="21" t="s">
        <v>192</v>
      </c>
      <c r="C24" s="21" t="s">
        <v>180</v>
      </c>
      <c r="D24" s="21">
        <v>0</v>
      </c>
      <c r="E24" s="21">
        <v>1</v>
      </c>
      <c r="F24" s="21">
        <v>2</v>
      </c>
      <c r="G24" s="21">
        <v>2</v>
      </c>
      <c r="H24" s="88">
        <f t="shared" si="7"/>
        <v>100</v>
      </c>
      <c r="I24" s="88">
        <f t="shared" si="8"/>
        <v>200</v>
      </c>
      <c r="J24" s="73"/>
      <c r="K24" s="73"/>
      <c r="L24" s="42" t="s">
        <v>91</v>
      </c>
      <c r="M24" s="79">
        <f t="shared" si="9"/>
        <v>100</v>
      </c>
      <c r="N24" s="79" t="str">
        <f t="shared" si="3"/>
        <v>-</v>
      </c>
    </row>
    <row r="25" spans="1:14" s="87" customFormat="1" ht="55.5" customHeight="1" x14ac:dyDescent="0.2">
      <c r="A25" s="21" t="s">
        <v>135</v>
      </c>
      <c r="B25" s="21" t="s">
        <v>193</v>
      </c>
      <c r="C25" s="21" t="s">
        <v>180</v>
      </c>
      <c r="D25" s="21">
        <v>0</v>
      </c>
      <c r="E25" s="21">
        <v>65</v>
      </c>
      <c r="F25" s="21">
        <v>130</v>
      </c>
      <c r="G25" s="21">
        <v>66</v>
      </c>
      <c r="H25" s="88">
        <f t="shared" si="7"/>
        <v>50.769230769230766</v>
      </c>
      <c r="I25" s="88">
        <f t="shared" si="8"/>
        <v>101.53846153846153</v>
      </c>
      <c r="J25" s="73" t="s">
        <v>218</v>
      </c>
      <c r="K25" s="73"/>
      <c r="L25" s="42" t="s">
        <v>92</v>
      </c>
      <c r="M25" s="79">
        <f t="shared" si="9"/>
        <v>50.769230769230766</v>
      </c>
      <c r="N25" s="79" t="str">
        <f t="shared" si="3"/>
        <v>-</v>
      </c>
    </row>
    <row r="26" spans="1:14" s="87" customFormat="1" ht="45" x14ac:dyDescent="0.2">
      <c r="A26" s="21" t="s">
        <v>139</v>
      </c>
      <c r="B26" s="21" t="s">
        <v>194</v>
      </c>
      <c r="C26" s="21" t="s">
        <v>171</v>
      </c>
      <c r="D26" s="21">
        <v>0</v>
      </c>
      <c r="E26" s="21">
        <v>56</v>
      </c>
      <c r="F26" s="21">
        <v>56</v>
      </c>
      <c r="G26" s="21">
        <v>56</v>
      </c>
      <c r="H26" s="88">
        <f t="shared" si="7"/>
        <v>100</v>
      </c>
      <c r="I26" s="88">
        <f t="shared" si="8"/>
        <v>100</v>
      </c>
      <c r="J26" s="73"/>
      <c r="K26" s="73"/>
      <c r="L26" s="42" t="s">
        <v>24</v>
      </c>
      <c r="M26" s="79">
        <f t="shared" si="9"/>
        <v>100</v>
      </c>
      <c r="N26" s="79" t="str">
        <f t="shared" si="3"/>
        <v>-</v>
      </c>
    </row>
    <row r="27" spans="1:14" s="87" customFormat="1" ht="51.75" customHeight="1" x14ac:dyDescent="0.2">
      <c r="A27" s="21" t="s">
        <v>141</v>
      </c>
      <c r="B27" s="21" t="s">
        <v>195</v>
      </c>
      <c r="C27" s="21" t="s">
        <v>171</v>
      </c>
      <c r="D27" s="21">
        <v>0</v>
      </c>
      <c r="E27" s="21">
        <v>1500</v>
      </c>
      <c r="F27" s="21">
        <v>1500</v>
      </c>
      <c r="G27" s="21">
        <v>1501</v>
      </c>
      <c r="H27" s="88">
        <f t="shared" si="7"/>
        <v>100.06666666666666</v>
      </c>
      <c r="I27" s="88">
        <f t="shared" si="8"/>
        <v>100.06666666666666</v>
      </c>
      <c r="J27" s="73" t="s">
        <v>235</v>
      </c>
      <c r="K27" s="73"/>
      <c r="L27" s="42" t="s">
        <v>24</v>
      </c>
      <c r="M27" s="79">
        <f t="shared" si="9"/>
        <v>100</v>
      </c>
      <c r="N27" s="79" t="str">
        <f t="shared" si="3"/>
        <v>-</v>
      </c>
    </row>
    <row r="28" spans="1:14" s="87" customFormat="1" ht="60" x14ac:dyDescent="0.2">
      <c r="A28" s="21" t="s">
        <v>145</v>
      </c>
      <c r="B28" s="21" t="s">
        <v>196</v>
      </c>
      <c r="C28" s="21" t="s">
        <v>171</v>
      </c>
      <c r="D28" s="21">
        <v>0</v>
      </c>
      <c r="E28" s="21">
        <v>31</v>
      </c>
      <c r="F28" s="21">
        <v>18</v>
      </c>
      <c r="G28" s="21">
        <v>18</v>
      </c>
      <c r="H28" s="88">
        <f t="shared" si="7"/>
        <v>100</v>
      </c>
      <c r="I28" s="88">
        <f t="shared" si="8"/>
        <v>58.064516129032263</v>
      </c>
      <c r="J28" s="73" t="s">
        <v>236</v>
      </c>
      <c r="K28" s="73"/>
      <c r="L28" s="42" t="s">
        <v>24</v>
      </c>
      <c r="M28" s="79">
        <f t="shared" si="9"/>
        <v>100</v>
      </c>
      <c r="N28" s="79" t="str">
        <f t="shared" si="3"/>
        <v>-</v>
      </c>
    </row>
    <row r="29" spans="1:14" s="87" customFormat="1" ht="60" x14ac:dyDescent="0.2">
      <c r="A29" s="21" t="s">
        <v>187</v>
      </c>
      <c r="B29" s="21" t="s">
        <v>197</v>
      </c>
      <c r="C29" s="21" t="s">
        <v>171</v>
      </c>
      <c r="D29" s="21">
        <v>0</v>
      </c>
      <c r="E29" s="21">
        <v>33</v>
      </c>
      <c r="F29" s="21">
        <v>36</v>
      </c>
      <c r="G29" s="21">
        <v>33</v>
      </c>
      <c r="H29" s="88">
        <f t="shared" si="7"/>
        <v>91.666666666666657</v>
      </c>
      <c r="I29" s="88">
        <f t="shared" si="8"/>
        <v>100</v>
      </c>
      <c r="J29" s="73"/>
      <c r="K29" s="73"/>
      <c r="L29" s="42" t="s">
        <v>24</v>
      </c>
      <c r="M29" s="79">
        <f t="shared" si="9"/>
        <v>91.666666666666657</v>
      </c>
      <c r="N29" s="79" t="str">
        <f t="shared" si="3"/>
        <v>-</v>
      </c>
    </row>
    <row r="30" spans="1:14" s="87" customFormat="1" ht="41.25" customHeight="1" x14ac:dyDescent="0.2">
      <c r="A30" s="21" t="s">
        <v>188</v>
      </c>
      <c r="B30" s="21" t="s">
        <v>198</v>
      </c>
      <c r="C30" s="21" t="s">
        <v>171</v>
      </c>
      <c r="D30" s="21">
        <v>0</v>
      </c>
      <c r="E30" s="21">
        <v>68</v>
      </c>
      <c r="F30" s="21">
        <v>62</v>
      </c>
      <c r="G30" s="21">
        <v>62</v>
      </c>
      <c r="H30" s="88">
        <f t="shared" si="7"/>
        <v>100</v>
      </c>
      <c r="I30" s="88">
        <f t="shared" si="8"/>
        <v>91.17647058823529</v>
      </c>
      <c r="J30" s="73" t="s">
        <v>234</v>
      </c>
      <c r="K30" s="73"/>
      <c r="L30" s="42" t="s">
        <v>93</v>
      </c>
      <c r="M30" s="79">
        <f t="shared" si="9"/>
        <v>100</v>
      </c>
      <c r="N30" s="79" t="str">
        <f t="shared" si="3"/>
        <v>-</v>
      </c>
    </row>
    <row r="31" spans="1:14" s="87" customFormat="1" ht="117.75" customHeight="1" x14ac:dyDescent="0.2">
      <c r="A31" s="21" t="s">
        <v>189</v>
      </c>
      <c r="B31" s="21" t="s">
        <v>199</v>
      </c>
      <c r="C31" s="21" t="s">
        <v>180</v>
      </c>
      <c r="D31" s="21">
        <v>0</v>
      </c>
      <c r="E31" s="21">
        <v>3</v>
      </c>
      <c r="F31" s="21">
        <v>2</v>
      </c>
      <c r="G31" s="21">
        <v>2</v>
      </c>
      <c r="H31" s="88">
        <f t="shared" si="7"/>
        <v>100</v>
      </c>
      <c r="I31" s="88">
        <f t="shared" si="8"/>
        <v>66.666666666666657</v>
      </c>
      <c r="J31" s="73" t="s">
        <v>234</v>
      </c>
      <c r="K31" s="73"/>
      <c r="L31" s="42" t="s">
        <v>93</v>
      </c>
      <c r="M31" s="79">
        <f t="shared" si="9"/>
        <v>100</v>
      </c>
      <c r="N31" s="79" t="str">
        <f t="shared" si="3"/>
        <v>-</v>
      </c>
    </row>
    <row r="32" spans="1:14" ht="66.75" customHeight="1" x14ac:dyDescent="0.25">
      <c r="A32" s="28" t="s">
        <v>85</v>
      </c>
      <c r="B32" s="28" t="s">
        <v>204</v>
      </c>
      <c r="C32" s="28"/>
      <c r="D32" s="28"/>
      <c r="E32" s="28"/>
      <c r="F32" s="28"/>
      <c r="G32" s="28"/>
      <c r="H32" s="88"/>
      <c r="I32" s="88"/>
      <c r="J32" s="77"/>
      <c r="K32" s="77"/>
      <c r="L32" s="43"/>
      <c r="M32" s="78">
        <f>AVERAGE(M33:M35)</f>
        <v>100</v>
      </c>
      <c r="N32" s="78">
        <f>AVERAGE(N33:N34,N35)</f>
        <v>100</v>
      </c>
    </row>
    <row r="33" spans="1:14" ht="90" x14ac:dyDescent="0.25">
      <c r="A33" s="21" t="s">
        <v>32</v>
      </c>
      <c r="B33" s="21" t="s">
        <v>205</v>
      </c>
      <c r="C33" s="21" t="s">
        <v>180</v>
      </c>
      <c r="D33" s="21">
        <v>1</v>
      </c>
      <c r="E33" s="21">
        <v>48</v>
      </c>
      <c r="F33" s="21">
        <v>51</v>
      </c>
      <c r="G33" s="21">
        <v>51</v>
      </c>
      <c r="H33" s="88">
        <f>G33/F33*100</f>
        <v>100</v>
      </c>
      <c r="I33" s="88">
        <f>G33/E33*100</f>
        <v>106.25</v>
      </c>
      <c r="J33" s="73"/>
      <c r="K33" s="73"/>
      <c r="L33" s="42" t="s">
        <v>89</v>
      </c>
      <c r="M33" s="79">
        <f>MIN(G33/F33*100, 100)</f>
        <v>100</v>
      </c>
      <c r="N33" s="79">
        <f t="shared" si="3"/>
        <v>100</v>
      </c>
    </row>
    <row r="34" spans="1:14" ht="140.25" customHeight="1" x14ac:dyDescent="0.25">
      <c r="A34" s="21" t="s">
        <v>74</v>
      </c>
      <c r="B34" s="21" t="s">
        <v>206</v>
      </c>
      <c r="C34" s="21" t="s">
        <v>180</v>
      </c>
      <c r="D34" s="21">
        <v>1</v>
      </c>
      <c r="E34" s="21">
        <v>8</v>
      </c>
      <c r="F34" s="21">
        <v>9</v>
      </c>
      <c r="G34" s="21">
        <v>9</v>
      </c>
      <c r="H34" s="88">
        <f>G34/F34*100</f>
        <v>100</v>
      </c>
      <c r="I34" s="88">
        <f>G34/E34*100</f>
        <v>112.5</v>
      </c>
      <c r="J34" s="73"/>
      <c r="K34" s="73"/>
      <c r="L34" s="42" t="s">
        <v>94</v>
      </c>
      <c r="M34" s="79">
        <f>MIN(G34/F34*100, 100)</f>
        <v>100</v>
      </c>
      <c r="N34" s="79">
        <f t="shared" si="3"/>
        <v>100</v>
      </c>
    </row>
    <row r="35" spans="1:14" ht="72.75" customHeight="1" x14ac:dyDescent="0.25">
      <c r="A35" s="21" t="s">
        <v>201</v>
      </c>
      <c r="B35" s="21" t="s">
        <v>207</v>
      </c>
      <c r="C35" s="21" t="s">
        <v>180</v>
      </c>
      <c r="D35" s="21">
        <v>0</v>
      </c>
      <c r="E35" s="21">
        <v>7</v>
      </c>
      <c r="F35" s="21">
        <v>6</v>
      </c>
      <c r="G35" s="21">
        <v>6</v>
      </c>
      <c r="H35" s="88">
        <f>G35/F35*100</f>
        <v>100</v>
      </c>
      <c r="I35" s="88">
        <f>G35/E35*100</f>
        <v>85.714285714285708</v>
      </c>
      <c r="J35" s="73"/>
      <c r="K35" s="73"/>
      <c r="L35" s="42" t="s">
        <v>91</v>
      </c>
      <c r="M35" s="79">
        <f>MIN(G35/F35*100, 100)</f>
        <v>100</v>
      </c>
      <c r="N35" s="79" t="str">
        <f t="shared" si="3"/>
        <v>-</v>
      </c>
    </row>
    <row r="36" spans="1:14" ht="90" x14ac:dyDescent="0.25">
      <c r="A36" s="21" t="s">
        <v>202</v>
      </c>
      <c r="B36" s="21" t="s">
        <v>208</v>
      </c>
      <c r="C36" s="21" t="s">
        <v>84</v>
      </c>
      <c r="D36" s="21">
        <v>1</v>
      </c>
      <c r="E36" s="21">
        <v>6</v>
      </c>
      <c r="F36" s="21">
        <v>7</v>
      </c>
      <c r="G36" s="21">
        <v>0</v>
      </c>
      <c r="H36" s="88">
        <f>G36/F36*100</f>
        <v>0</v>
      </c>
      <c r="I36" s="88">
        <f>G36/E36*100</f>
        <v>0</v>
      </c>
      <c r="J36" s="73"/>
      <c r="K36" s="73"/>
      <c r="L36" s="42" t="s">
        <v>24</v>
      </c>
      <c r="M36" s="79">
        <f>MIN(G36/F36*100, 100)</f>
        <v>0</v>
      </c>
      <c r="N36" s="79" t="s">
        <v>23</v>
      </c>
    </row>
    <row r="37" spans="1:14" ht="56.25" customHeight="1" x14ac:dyDescent="0.25">
      <c r="A37" s="21" t="s">
        <v>203</v>
      </c>
      <c r="B37" s="21" t="s">
        <v>209</v>
      </c>
      <c r="C37" s="21" t="s">
        <v>180</v>
      </c>
      <c r="D37" s="21">
        <v>0</v>
      </c>
      <c r="E37" s="21">
        <v>19</v>
      </c>
      <c r="F37" s="21">
        <v>0</v>
      </c>
      <c r="G37" s="21">
        <v>0</v>
      </c>
      <c r="H37" s="88" t="e">
        <f>G37/F37*100</f>
        <v>#DIV/0!</v>
      </c>
      <c r="I37" s="88">
        <f>G37/E37*100</f>
        <v>0</v>
      </c>
      <c r="J37" s="73"/>
      <c r="K37" s="73"/>
      <c r="L37" s="42" t="s">
        <v>91</v>
      </c>
      <c r="M37" s="79" t="e">
        <f>MIN(G37/F37*100, 100)</f>
        <v>#DIV/0!</v>
      </c>
      <c r="N37" s="79" t="str">
        <f t="shared" si="3"/>
        <v>-</v>
      </c>
    </row>
  </sheetData>
  <mergeCells count="15">
    <mergeCell ref="A1:N1"/>
    <mergeCell ref="K4:K6"/>
    <mergeCell ref="L4:L6"/>
    <mergeCell ref="M4:M6"/>
    <mergeCell ref="N4:N6"/>
    <mergeCell ref="A2:N2"/>
    <mergeCell ref="E4:G4"/>
    <mergeCell ref="F5:G5"/>
    <mergeCell ref="D4:D6"/>
    <mergeCell ref="H4:H6"/>
    <mergeCell ref="I4:I6"/>
    <mergeCell ref="J4:J6"/>
    <mergeCell ref="A4:A6"/>
    <mergeCell ref="B4:B6"/>
    <mergeCell ref="C4:C6"/>
  </mergeCells>
  <pageMargins left="0.25" right="0.25" top="0.75" bottom="0.75" header="0.3" footer="0.3"/>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6"/>
  <sheetViews>
    <sheetView workbookViewId="0">
      <selection activeCell="E6" sqref="E6"/>
    </sheetView>
  </sheetViews>
  <sheetFormatPr defaultColWidth="8.85546875" defaultRowHeight="15" x14ac:dyDescent="0.25"/>
  <cols>
    <col min="1" max="1" width="4.85546875" style="1" customWidth="1"/>
    <col min="2" max="2" width="33" style="1" customWidth="1"/>
    <col min="3" max="3" width="38" style="1" customWidth="1"/>
    <col min="4" max="4" width="47.28515625" style="1" customWidth="1"/>
    <col min="5" max="5" width="67" style="1" customWidth="1"/>
    <col min="6" max="6" width="34" style="1" customWidth="1"/>
    <col min="7" max="16384" width="8.85546875" style="1"/>
  </cols>
  <sheetData>
    <row r="1" spans="1:6" x14ac:dyDescent="0.25">
      <c r="A1" s="138" t="s">
        <v>58</v>
      </c>
      <c r="B1" s="138"/>
      <c r="C1" s="138"/>
      <c r="D1" s="138"/>
      <c r="E1" s="138"/>
      <c r="F1" s="138"/>
    </row>
    <row r="2" spans="1:6" x14ac:dyDescent="0.25">
      <c r="A2" s="138" t="s">
        <v>241</v>
      </c>
      <c r="B2" s="138"/>
      <c r="C2" s="138"/>
      <c r="D2" s="138"/>
      <c r="E2" s="138"/>
      <c r="F2" s="138"/>
    </row>
    <row r="4" spans="1:6" ht="30" x14ac:dyDescent="0.25">
      <c r="A4" s="3" t="s">
        <v>0</v>
      </c>
      <c r="B4" s="3" t="s">
        <v>66</v>
      </c>
      <c r="C4" s="3" t="s">
        <v>67</v>
      </c>
      <c r="D4" s="3" t="s">
        <v>68</v>
      </c>
      <c r="E4" s="3" t="s">
        <v>69</v>
      </c>
      <c r="F4" s="3" t="s">
        <v>70</v>
      </c>
    </row>
    <row r="5" spans="1:6" s="8" customFormat="1" ht="20.45" customHeight="1" x14ac:dyDescent="0.25">
      <c r="A5" s="5">
        <v>2</v>
      </c>
      <c r="B5" s="151" t="s">
        <v>75</v>
      </c>
      <c r="C5" s="151"/>
      <c r="D5" s="151"/>
      <c r="E5" s="5"/>
      <c r="F5" s="5"/>
    </row>
    <row r="6" spans="1:6" ht="409.5" customHeight="1" x14ac:dyDescent="0.25">
      <c r="A6" s="4" t="s">
        <v>77</v>
      </c>
      <c r="B6" s="12" t="s">
        <v>214</v>
      </c>
      <c r="C6" s="12" t="s">
        <v>215</v>
      </c>
      <c r="D6" s="12" t="s">
        <v>216</v>
      </c>
      <c r="E6" s="12" t="s">
        <v>259</v>
      </c>
      <c r="F6" s="73" t="s">
        <v>260</v>
      </c>
    </row>
  </sheetData>
  <mergeCells count="3">
    <mergeCell ref="B5:D5"/>
    <mergeCell ref="A1:F1"/>
    <mergeCell ref="A2:F2"/>
  </mergeCells>
  <pageMargins left="0.25" right="0.25" top="0.75" bottom="0.75" header="0.3" footer="0.3"/>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8"/>
  <sheetViews>
    <sheetView zoomScaleNormal="100" zoomScaleSheetLayoutView="100" workbookViewId="0">
      <selection activeCell="B21" sqref="B21"/>
    </sheetView>
  </sheetViews>
  <sheetFormatPr defaultColWidth="8.85546875" defaultRowHeight="15" x14ac:dyDescent="0.25"/>
  <cols>
    <col min="1" max="1" width="6.28515625" style="6" customWidth="1"/>
    <col min="2" max="2" width="69.85546875" style="6" customWidth="1"/>
    <col min="3" max="3" width="14.5703125" style="6" customWidth="1"/>
    <col min="4" max="4" width="14.85546875" style="6" customWidth="1"/>
    <col min="5" max="5" width="16.28515625" style="6" customWidth="1"/>
    <col min="6" max="6" width="14.28515625" style="6" customWidth="1"/>
    <col min="7" max="7" width="16.42578125" style="6" customWidth="1"/>
    <col min="8" max="8" width="46.42578125" style="6" customWidth="1"/>
    <col min="9" max="16384" width="8.85546875" style="6"/>
  </cols>
  <sheetData>
    <row r="1" spans="1:8" x14ac:dyDescent="0.25">
      <c r="A1" s="138" t="s">
        <v>210</v>
      </c>
      <c r="B1" s="138"/>
      <c r="C1" s="138"/>
      <c r="D1" s="138"/>
      <c r="E1" s="138"/>
      <c r="F1" s="138"/>
      <c r="G1" s="138"/>
      <c r="H1" s="138"/>
    </row>
    <row r="2" spans="1:8" x14ac:dyDescent="0.25">
      <c r="A2" s="138" t="s">
        <v>241</v>
      </c>
      <c r="B2" s="138"/>
      <c r="C2" s="138"/>
      <c r="D2" s="138"/>
      <c r="E2" s="138"/>
      <c r="F2" s="138"/>
      <c r="G2" s="138"/>
      <c r="H2" s="138"/>
    </row>
    <row r="3" spans="1:8" ht="14.45" customHeight="1" x14ac:dyDescent="0.25"/>
    <row r="4" spans="1:8" ht="90" x14ac:dyDescent="0.25">
      <c r="A4" s="9" t="s">
        <v>0</v>
      </c>
      <c r="B4" s="9" t="s">
        <v>59</v>
      </c>
      <c r="C4" s="9" t="s">
        <v>60</v>
      </c>
      <c r="D4" s="9" t="s">
        <v>61</v>
      </c>
      <c r="E4" s="9" t="s">
        <v>62</v>
      </c>
      <c r="F4" s="9" t="s">
        <v>63</v>
      </c>
      <c r="G4" s="9" t="s">
        <v>64</v>
      </c>
      <c r="H4" s="9" t="s">
        <v>65</v>
      </c>
    </row>
    <row r="5" spans="1:8" s="7" customFormat="1" ht="26.25" customHeight="1" x14ac:dyDescent="0.2">
      <c r="A5" s="10" t="s">
        <v>25</v>
      </c>
      <c r="B5" s="23" t="s">
        <v>166</v>
      </c>
      <c r="C5" s="23" t="s">
        <v>24</v>
      </c>
      <c r="D5" s="11">
        <f>Показатели!M7</f>
        <v>100</v>
      </c>
      <c r="E5" s="11">
        <f>IF(Показатели!N7="-",100,Показатели!N7)</f>
        <v>100</v>
      </c>
      <c r="F5" s="11">
        <f>('Основной отчет'!I8+0.5*'Основной отчет'!I9)/'Основной отчет'!I7*100</f>
        <v>98.333333333333329</v>
      </c>
      <c r="G5" s="11">
        <f>D5*0.3+(E5-3)*0.35+F5*0.35</f>
        <v>98.36666666666666</v>
      </c>
      <c r="H5" s="23" t="str">
        <f>IF(G5&gt;=97,"Высокий уровень эффективности",IF(G5&gt;=92,"Средний уровень эффективности",IF(G5&gt;=85,"Уровень эффективности ниже среднего","Низкий уровень эффективности")))</f>
        <v>Высокий уровень эффективности</v>
      </c>
    </row>
    <row r="6" spans="1:8" ht="48" customHeight="1" x14ac:dyDescent="0.25">
      <c r="A6" s="2" t="s">
        <v>26</v>
      </c>
      <c r="B6" s="22" t="s">
        <v>211</v>
      </c>
      <c r="C6" s="29" t="s">
        <v>89</v>
      </c>
      <c r="D6" s="24">
        <f>Показатели!M14</f>
        <v>93.875922924636072</v>
      </c>
      <c r="E6" s="24">
        <f>IF(Показатели!N14="-",100,Показатели!N14)</f>
        <v>100</v>
      </c>
      <c r="F6" s="24">
        <f>('Основной отчет'!I48+0.5*'Основной отчет'!I49)/'Основной отчет'!I47*100</f>
        <v>100</v>
      </c>
      <c r="G6" s="24">
        <f>D6*0.3+(E6-3)*0.35+F6*0.35</f>
        <v>97.112776877390814</v>
      </c>
      <c r="H6" s="22" t="str">
        <f>IF(G6&gt;=97,"Высокий уровень эффективности",IF(G6&gt;=92,"Средний уровень эффективности",IF(G6&gt;=85,"Уровень эффективности ниже среднего","Низкий уровень эффективности")))</f>
        <v>Высокий уровень эффективности</v>
      </c>
    </row>
    <row r="7" spans="1:8" ht="84.75" customHeight="1" x14ac:dyDescent="0.25">
      <c r="A7" s="2" t="s">
        <v>52</v>
      </c>
      <c r="B7" s="22" t="s">
        <v>212</v>
      </c>
      <c r="C7" s="29" t="s">
        <v>24</v>
      </c>
      <c r="D7" s="24">
        <f>Показатели!M21</f>
        <v>94.243589743589737</v>
      </c>
      <c r="E7" s="24">
        <f>IF(Показатели!N21="-",100,Показатели!N21)</f>
        <v>100</v>
      </c>
      <c r="F7" s="24">
        <f>('Основной отчет'!I113+0.5*'Основной отчет'!I114)/'Основной отчет'!I112*100</f>
        <v>100</v>
      </c>
      <c r="G7" s="24">
        <f>D7*0.3+(E7-3)*0.35+F7*0.35</f>
        <v>97.223076923076917</v>
      </c>
      <c r="H7" s="22" t="str">
        <f>IF(G7&gt;=97,"Высокий уровень эффективности",IF(G7&gt;=92,"Средний уровень эффективности",IF(G7&gt;=85,"Уровень эффективности ниже среднего","Низкий уровень эффективности")))</f>
        <v>Высокий уровень эффективности</v>
      </c>
    </row>
    <row r="8" spans="1:8" ht="45" x14ac:dyDescent="0.25">
      <c r="A8" s="2" t="s">
        <v>53</v>
      </c>
      <c r="B8" s="22" t="s">
        <v>213</v>
      </c>
      <c r="C8" s="29" t="s">
        <v>24</v>
      </c>
      <c r="D8" s="24">
        <f>Показатели!M32</f>
        <v>100</v>
      </c>
      <c r="E8" s="24">
        <f>IF(Показатели!N32="-",100,Показатели!N32)</f>
        <v>100</v>
      </c>
      <c r="F8" s="24">
        <f>('Основной отчет'!I228+0.5*'Основной отчет'!I229)/'Основной отчет'!I227*100</f>
        <v>75</v>
      </c>
      <c r="G8" s="24">
        <f>D8*0.3+(E8-3)*0.35+F8*0.35</f>
        <v>90.199999999999989</v>
      </c>
      <c r="H8" s="22" t="str">
        <f>IF(G8&gt;=97,"Высокий уровень эффективности",IF(G8&gt;=92,"Средний уровень эффективности",IF(G8&gt;=85,"Уровень эффективности ниже среднего","Низкий уровень эффективности")))</f>
        <v>Уровень эффективности ниже среднего</v>
      </c>
    </row>
  </sheetData>
  <mergeCells count="2">
    <mergeCell ref="A1:H1"/>
    <mergeCell ref="A2:H2"/>
  </mergeCells>
  <pageMargins left="0.23622047244094491" right="0.23622047244094491"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27:T31"/>
  <sheetViews>
    <sheetView view="pageBreakPreview" zoomScale="60" workbookViewId="0">
      <selection activeCell="F28" sqref="F28"/>
    </sheetView>
  </sheetViews>
  <sheetFormatPr defaultRowHeight="15" x14ac:dyDescent="0.25"/>
  <sheetData>
    <row r="27" spans="10:20" ht="90" x14ac:dyDescent="0.25">
      <c r="J27" s="108" t="s">
        <v>52</v>
      </c>
      <c r="K27" s="108" t="s">
        <v>108</v>
      </c>
      <c r="L27" s="2" t="s">
        <v>13</v>
      </c>
      <c r="M27" s="15">
        <f>M28+M29+M30</f>
        <v>0</v>
      </c>
      <c r="N27" s="15">
        <f>N28+N29+N30</f>
        <v>0</v>
      </c>
      <c r="O27" s="15" t="e">
        <f>N27/M27*100</f>
        <v>#DIV/0!</v>
      </c>
      <c r="P27" s="152"/>
      <c r="Q27" s="12" t="s">
        <v>18</v>
      </c>
      <c r="R27" s="19">
        <f>COUNTA(R32:R56)</f>
        <v>0</v>
      </c>
      <c r="S27" s="152" t="s">
        <v>71</v>
      </c>
      <c r="T27" s="152"/>
    </row>
    <row r="28" spans="10:20" ht="60" x14ac:dyDescent="0.25">
      <c r="J28" s="108"/>
      <c r="K28" s="108"/>
      <c r="L28" s="2" t="s">
        <v>14</v>
      </c>
      <c r="M28" s="15">
        <f>M33+M38+M43+M48+M53</f>
        <v>0</v>
      </c>
      <c r="N28" s="15">
        <f>N33+N38+N43+N48+N53</f>
        <v>0</v>
      </c>
      <c r="O28" s="15" t="e">
        <f>N28/M28*100</f>
        <v>#DIV/0!</v>
      </c>
      <c r="P28" s="153"/>
      <c r="Q28" s="12" t="s">
        <v>19</v>
      </c>
      <c r="R28" s="19">
        <f>COUNTIF(R32:R56,"да")</f>
        <v>0</v>
      </c>
      <c r="S28" s="153"/>
      <c r="T28" s="153"/>
    </row>
    <row r="29" spans="10:20" ht="60" x14ac:dyDescent="0.25">
      <c r="J29" s="108"/>
      <c r="K29" s="108"/>
      <c r="L29" s="2" t="s">
        <v>16</v>
      </c>
      <c r="M29" s="15">
        <f t="shared" ref="M29:N31" si="0">M34+M39+M44+M49+M54</f>
        <v>0</v>
      </c>
      <c r="N29" s="15">
        <f t="shared" si="0"/>
        <v>0</v>
      </c>
      <c r="O29" s="15" t="e">
        <f>N29/M29*100</f>
        <v>#DIV/0!</v>
      </c>
      <c r="P29" s="153"/>
      <c r="Q29" s="12" t="s">
        <v>20</v>
      </c>
      <c r="R29" s="19">
        <f>COUNTIF(R32:R56,"частично")</f>
        <v>0</v>
      </c>
      <c r="S29" s="153"/>
      <c r="T29" s="153"/>
    </row>
    <row r="30" spans="10:20" ht="45" x14ac:dyDescent="0.25">
      <c r="J30" s="108"/>
      <c r="K30" s="108"/>
      <c r="L30" s="2" t="s">
        <v>15</v>
      </c>
      <c r="M30" s="15">
        <f t="shared" si="0"/>
        <v>0</v>
      </c>
      <c r="N30" s="15">
        <f t="shared" si="0"/>
        <v>0</v>
      </c>
      <c r="O30" s="15"/>
      <c r="P30" s="153"/>
      <c r="Q30" s="12" t="s">
        <v>21</v>
      </c>
      <c r="R30" s="19">
        <f>COUNTIF(R32:R56,"нет")</f>
        <v>0</v>
      </c>
      <c r="S30" s="153"/>
      <c r="T30" s="153"/>
    </row>
    <row r="31" spans="10:20" ht="75" x14ac:dyDescent="0.25">
      <c r="J31" s="108"/>
      <c r="K31" s="108"/>
      <c r="L31" s="2" t="s">
        <v>17</v>
      </c>
      <c r="M31" s="15">
        <f t="shared" si="0"/>
        <v>0</v>
      </c>
      <c r="N31" s="15">
        <f t="shared" si="0"/>
        <v>0</v>
      </c>
      <c r="O31" s="15"/>
      <c r="P31" s="154"/>
      <c r="Q31" s="12" t="s">
        <v>22</v>
      </c>
      <c r="R31" s="20" t="e">
        <f>R28/R27*100</f>
        <v>#DIV/0!</v>
      </c>
      <c r="S31" s="154"/>
      <c r="T31" s="154"/>
    </row>
  </sheetData>
  <mergeCells count="5">
    <mergeCell ref="J27:J31"/>
    <mergeCell ref="K27:K31"/>
    <mergeCell ref="P27:P31"/>
    <mergeCell ref="S27:S31"/>
    <mergeCell ref="T27:T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Основной отчет</vt:lpstr>
      <vt:lpstr>Показатели</vt:lpstr>
      <vt:lpstr>Финансовая поддержка</vt:lpstr>
      <vt:lpstr>Оценка эффективности</vt:lpstr>
      <vt:lpstr>Лист1</vt:lpstr>
      <vt:lpstr>'Основной отчет'!_ftn1</vt:lpstr>
      <vt:lpstr>'Основной отчет'!_ftn2</vt:lpstr>
      <vt:lpstr>'Основной отчет'!_ftnref1</vt:lpstr>
      <vt:lpstr>'Основной отчет'!_ftnref2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2025-02-06T07:15:23Z</dcterms:modified>
</cp:coreProperties>
</file>