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08" yWindow="-108" windowWidth="23256" windowHeight="13896" tabRatio="683"/>
  </bookViews>
  <sheets>
    <sheet name="Основной отчет" sheetId="1" r:id="rId1"/>
    <sheet name="Показатели" sheetId="2" state="hidden" r:id="rId2"/>
    <sheet name="Финансовая поддержка" sheetId="3" state="hidden" r:id="rId3"/>
    <sheet name="Оценка эффективности" sheetId="4" state="hidden" r:id="rId4"/>
    <sheet name="Лист1" sheetId="5" state="hidden" r:id="rId5"/>
  </sheets>
  <definedNames>
    <definedName name="_ftn1" localSheetId="0">'Основной отчет'!$C$9</definedName>
    <definedName name="_ftn2" localSheetId="0">'Основной отчет'!$C$10</definedName>
    <definedName name="_ftnref1" localSheetId="0">'Основной отчет'!$D$6</definedName>
    <definedName name="_ftnref2" localSheetId="0">'Основной отчет'!$E$6</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1" l="1"/>
  <c r="I65" i="1"/>
  <c r="I63" i="1"/>
  <c r="I64" i="1"/>
  <c r="D43" i="1" l="1"/>
  <c r="D42" i="1" s="1"/>
  <c r="D39" i="1"/>
  <c r="D34" i="1"/>
  <c r="D32" i="1" s="1"/>
  <c r="D48" i="1"/>
  <c r="D24" i="1"/>
  <c r="D23" i="1"/>
  <c r="D19" i="1"/>
  <c r="D17" i="1" s="1"/>
  <c r="D307" i="1"/>
  <c r="D302" i="1"/>
  <c r="D297" i="1"/>
  <c r="D292" i="1"/>
  <c r="D287" i="1"/>
  <c r="D286" i="1"/>
  <c r="D285" i="1"/>
  <c r="D284" i="1"/>
  <c r="D279" i="1" s="1"/>
  <c r="D29" i="1" s="1"/>
  <c r="D283" i="1"/>
  <c r="D278" i="1" s="1"/>
  <c r="D272" i="1"/>
  <c r="D267" i="1"/>
  <c r="D262" i="1"/>
  <c r="D257" i="1"/>
  <c r="D252" i="1"/>
  <c r="D244" i="1"/>
  <c r="D239" i="1" s="1"/>
  <c r="D243" i="1"/>
  <c r="D232" i="1"/>
  <c r="D229" i="1"/>
  <c r="D227" i="1" s="1"/>
  <c r="D222" i="1"/>
  <c r="D219" i="1"/>
  <c r="D218" i="1"/>
  <c r="D212" i="1"/>
  <c r="D208" i="1"/>
  <c r="D207" i="1" s="1"/>
  <c r="D202" i="1"/>
  <c r="D197" i="1"/>
  <c r="D192" i="1"/>
  <c r="D187" i="1"/>
  <c r="D182" i="1"/>
  <c r="D177" i="1"/>
  <c r="D172" i="1"/>
  <c r="D167" i="1"/>
  <c r="D162" i="1"/>
  <c r="D157" i="1"/>
  <c r="D152" i="1"/>
  <c r="D147" i="1"/>
  <c r="D142" i="1"/>
  <c r="D137" i="1"/>
  <c r="D132" i="1"/>
  <c r="D129" i="1"/>
  <c r="D128" i="1"/>
  <c r="D126" i="1"/>
  <c r="D125" i="1"/>
  <c r="D117" i="1"/>
  <c r="D112" i="1"/>
  <c r="D107" i="1"/>
  <c r="D102" i="1"/>
  <c r="D97" i="1"/>
  <c r="D92" i="1"/>
  <c r="D89" i="1"/>
  <c r="D88" i="1"/>
  <c r="D82" i="1"/>
  <c r="D77" i="1"/>
  <c r="D72" i="1"/>
  <c r="D71" i="1"/>
  <c r="D70" i="1"/>
  <c r="D69" i="1"/>
  <c r="D64" i="1" s="1"/>
  <c r="D14" i="1" s="1"/>
  <c r="D68" i="1"/>
  <c r="D63" i="1" s="1"/>
  <c r="D13" i="1" s="1"/>
  <c r="D67" i="1"/>
  <c r="D61" i="1"/>
  <c r="D60" i="1"/>
  <c r="D22" i="1" l="1"/>
  <c r="D12" i="1"/>
  <c r="D282" i="1"/>
  <c r="D277" i="1"/>
  <c r="D123" i="1"/>
  <c r="D124" i="1"/>
  <c r="D28" i="1"/>
  <c r="D8" i="1" s="1"/>
  <c r="D242" i="1"/>
  <c r="D38" i="1"/>
  <c r="D37" i="1" s="1"/>
  <c r="D27" i="1"/>
  <c r="D58" i="1"/>
  <c r="D62" i="1"/>
  <c r="D127" i="1"/>
  <c r="D217" i="1"/>
  <c r="D122" i="1"/>
  <c r="D87" i="1"/>
  <c r="D238" i="1"/>
  <c r="D237" i="1" s="1"/>
  <c r="D59" i="1"/>
  <c r="D9" i="1"/>
  <c r="D7" i="1" l="1"/>
  <c r="D57" i="1"/>
  <c r="D55" i="1" l="1"/>
  <c r="D50" i="1" s="1"/>
  <c r="D56" i="1"/>
  <c r="D51" i="1" s="1"/>
  <c r="D54" i="1" l="1"/>
  <c r="I87" i="1"/>
  <c r="I90" i="1"/>
  <c r="I89" i="1"/>
  <c r="I88" i="1"/>
  <c r="D53" i="1" l="1"/>
  <c r="D52" i="1" s="1"/>
  <c r="I52" i="1"/>
  <c r="I53" i="1"/>
  <c r="I54" i="1"/>
  <c r="I55" i="1"/>
  <c r="I47" i="1"/>
  <c r="I48" i="1"/>
  <c r="I51" i="1" s="1"/>
  <c r="I49" i="1"/>
  <c r="I50" i="1"/>
  <c r="F253" i="1" l="1"/>
  <c r="E43" i="1" l="1"/>
  <c r="E48" i="1" l="1"/>
  <c r="F48" i="1" s="1"/>
  <c r="E47" i="1"/>
  <c r="F47" i="1" s="1"/>
  <c r="E142" i="1" l="1"/>
  <c r="F56" i="1" l="1"/>
  <c r="F55" i="1"/>
  <c r="F213" i="1" l="1"/>
  <c r="I22" i="2"/>
  <c r="E208" i="1" l="1"/>
  <c r="E307" i="1"/>
  <c r="E302" i="1"/>
  <c r="E297" i="1"/>
  <c r="E292" i="1"/>
  <c r="E287" i="1"/>
  <c r="E286" i="1"/>
  <c r="E281" i="1" s="1"/>
  <c r="E285" i="1"/>
  <c r="E280" i="1" s="1"/>
  <c r="E284" i="1"/>
  <c r="E279" i="1" s="1"/>
  <c r="E283" i="1"/>
  <c r="E272" i="1"/>
  <c r="E267" i="1"/>
  <c r="E262" i="1"/>
  <c r="E257" i="1"/>
  <c r="E252" i="1"/>
  <c r="F252" i="1" s="1"/>
  <c r="E247" i="1"/>
  <c r="E246" i="1"/>
  <c r="E241" i="1" s="1"/>
  <c r="E245" i="1"/>
  <c r="E240" i="1" s="1"/>
  <c r="E244" i="1"/>
  <c r="E239" i="1" s="1"/>
  <c r="E243" i="1"/>
  <c r="E238" i="1" s="1"/>
  <c r="E232" i="1"/>
  <c r="E231" i="1"/>
  <c r="E230" i="1"/>
  <c r="E229" i="1"/>
  <c r="E228" i="1"/>
  <c r="E222" i="1"/>
  <c r="E221" i="1"/>
  <c r="E220" i="1"/>
  <c r="E219" i="1"/>
  <c r="E218" i="1"/>
  <c r="E212" i="1"/>
  <c r="E211" i="1"/>
  <c r="E210" i="1"/>
  <c r="E209" i="1"/>
  <c r="E202" i="1"/>
  <c r="E201" i="1"/>
  <c r="E200" i="1"/>
  <c r="E199" i="1"/>
  <c r="E198" i="1"/>
  <c r="E192" i="1"/>
  <c r="E187" i="1"/>
  <c r="E182" i="1"/>
  <c r="E177" i="1"/>
  <c r="E176" i="1"/>
  <c r="E175" i="1"/>
  <c r="E174" i="1"/>
  <c r="E173" i="1"/>
  <c r="E167" i="1"/>
  <c r="E162" i="1"/>
  <c r="E157" i="1"/>
  <c r="E156" i="1"/>
  <c r="E155" i="1"/>
  <c r="E154" i="1"/>
  <c r="E153" i="1"/>
  <c r="E147" i="1"/>
  <c r="E137" i="1"/>
  <c r="E132" i="1"/>
  <c r="E131" i="1"/>
  <c r="E130" i="1"/>
  <c r="E129" i="1"/>
  <c r="E128" i="1"/>
  <c r="E117" i="1"/>
  <c r="E112" i="1"/>
  <c r="E107" i="1"/>
  <c r="E102" i="1"/>
  <c r="E101" i="1"/>
  <c r="E100" i="1"/>
  <c r="E90" i="1" s="1"/>
  <c r="E92" i="1"/>
  <c r="E89" i="1"/>
  <c r="E88" i="1"/>
  <c r="E82" i="1"/>
  <c r="E77" i="1"/>
  <c r="E72" i="1"/>
  <c r="E71" i="1"/>
  <c r="E70" i="1"/>
  <c r="E68" i="1"/>
  <c r="E66" i="1"/>
  <c r="E65" i="1"/>
  <c r="E63" i="1"/>
  <c r="E42" i="1"/>
  <c r="E34" i="1"/>
  <c r="E32" i="1" s="1"/>
  <c r="E24" i="1"/>
  <c r="E23" i="1"/>
  <c r="E19" i="1"/>
  <c r="E17" i="1" s="1"/>
  <c r="E13" i="1"/>
  <c r="F119" i="1"/>
  <c r="E29" i="1" l="1"/>
  <c r="E39" i="1"/>
  <c r="F208" i="1"/>
  <c r="F212" i="1"/>
  <c r="E282" i="1"/>
  <c r="E278" i="1"/>
  <c r="E22" i="1"/>
  <c r="E58" i="1"/>
  <c r="E242" i="1"/>
  <c r="F117" i="1"/>
  <c r="E125" i="1"/>
  <c r="E152" i="1"/>
  <c r="E60" i="1"/>
  <c r="E87" i="1"/>
  <c r="E127" i="1"/>
  <c r="E126" i="1"/>
  <c r="E172" i="1"/>
  <c r="E207" i="1"/>
  <c r="F207" i="1" s="1"/>
  <c r="E97" i="1"/>
  <c r="E217" i="1"/>
  <c r="E67" i="1"/>
  <c r="E197" i="1"/>
  <c r="E227" i="1"/>
  <c r="E124" i="1"/>
  <c r="E38" i="1"/>
  <c r="E91" i="1"/>
  <c r="E61" i="1" s="1"/>
  <c r="E64" i="1"/>
  <c r="E62" i="1" s="1"/>
  <c r="E123" i="1"/>
  <c r="E7" i="4"/>
  <c r="E6" i="4"/>
  <c r="N35" i="2"/>
  <c r="N37" i="2"/>
  <c r="N23" i="2"/>
  <c r="N24" i="2"/>
  <c r="N25" i="2"/>
  <c r="N26" i="2"/>
  <c r="N27" i="2"/>
  <c r="N28" i="2"/>
  <c r="N29" i="2"/>
  <c r="N30" i="2"/>
  <c r="N31" i="2"/>
  <c r="N22" i="2"/>
  <c r="N16" i="2"/>
  <c r="N17" i="2"/>
  <c r="N18" i="2"/>
  <c r="N19" i="2"/>
  <c r="N20" i="2"/>
  <c r="N15" i="2"/>
  <c r="N9" i="2"/>
  <c r="N11" i="2"/>
  <c r="N13" i="2"/>
  <c r="N8" i="2"/>
  <c r="E37" i="1" l="1"/>
  <c r="E28" i="1"/>
  <c r="E8" i="1" s="1"/>
  <c r="E277" i="1"/>
  <c r="E55" i="1"/>
  <c r="E56" i="1"/>
  <c r="E53" i="1"/>
  <c r="E237" i="1"/>
  <c r="F237" i="1" s="1"/>
  <c r="F238" i="1"/>
  <c r="E11" i="1"/>
  <c r="E10" i="1"/>
  <c r="E122" i="1"/>
  <c r="E59" i="1"/>
  <c r="E54" i="1" s="1"/>
  <c r="E14" i="1"/>
  <c r="F299" i="1"/>
  <c r="I37" i="2"/>
  <c r="E12" i="1" l="1"/>
  <c r="E9" i="1"/>
  <c r="E7" i="1" s="1"/>
  <c r="E27" i="1"/>
  <c r="E52" i="1"/>
  <c r="E57" i="1"/>
  <c r="I37" i="1"/>
  <c r="I27" i="1"/>
  <c r="I32" i="1"/>
  <c r="I39" i="1"/>
  <c r="I29" i="1"/>
  <c r="I22" i="1" l="1"/>
  <c r="I242" i="1"/>
  <c r="I34" i="1"/>
  <c r="H22" i="2" l="1"/>
  <c r="M22" i="2"/>
  <c r="H23" i="2"/>
  <c r="I23" i="2"/>
  <c r="M23" i="2"/>
  <c r="H24" i="2"/>
  <c r="I24" i="2"/>
  <c r="M24" i="2"/>
  <c r="H25" i="2"/>
  <c r="I25" i="2"/>
  <c r="M25" i="2"/>
  <c r="H26" i="2"/>
  <c r="I26" i="2"/>
  <c r="M26" i="2"/>
  <c r="H27" i="2"/>
  <c r="I27" i="2"/>
  <c r="M27" i="2"/>
  <c r="H28" i="2"/>
  <c r="I28" i="2"/>
  <c r="M28" i="2"/>
  <c r="H29" i="2"/>
  <c r="I29" i="2"/>
  <c r="M29" i="2"/>
  <c r="H30" i="2"/>
  <c r="I30" i="2"/>
  <c r="M30" i="2"/>
  <c r="H31" i="2"/>
  <c r="I31" i="2"/>
  <c r="M31" i="2"/>
  <c r="H15" i="2"/>
  <c r="I15" i="2"/>
  <c r="M15" i="2"/>
  <c r="H16" i="2"/>
  <c r="I16" i="2"/>
  <c r="M16" i="2"/>
  <c r="H17" i="2"/>
  <c r="I17" i="2"/>
  <c r="M17" i="2"/>
  <c r="H18" i="2"/>
  <c r="I18" i="2"/>
  <c r="M18" i="2"/>
  <c r="H19" i="2"/>
  <c r="I19" i="2"/>
  <c r="M19" i="2"/>
  <c r="M21" i="2" l="1"/>
  <c r="M13" i="2"/>
  <c r="I13" i="2"/>
  <c r="H13" i="2"/>
  <c r="H12" i="2"/>
  <c r="I12" i="2"/>
  <c r="N12" i="2" s="1"/>
  <c r="M12" i="2"/>
  <c r="I45" i="1"/>
  <c r="I43" i="1"/>
  <c r="I44" i="1"/>
  <c r="I42" i="1"/>
  <c r="I15" i="1"/>
  <c r="I14" i="1"/>
  <c r="I13" i="1"/>
  <c r="I12" i="1"/>
  <c r="I35" i="1"/>
  <c r="I33" i="1"/>
  <c r="I30" i="1"/>
  <c r="I28" i="1"/>
  <c r="I25" i="1"/>
  <c r="I24" i="1"/>
  <c r="I23" i="1"/>
  <c r="I20" i="1"/>
  <c r="I19" i="1"/>
  <c r="I18" i="1"/>
  <c r="I17" i="1"/>
  <c r="I285" i="1"/>
  <c r="I280" i="1" s="1"/>
  <c r="I284" i="1"/>
  <c r="I279" i="1" s="1"/>
  <c r="I283" i="1"/>
  <c r="I282" i="1"/>
  <c r="I277" i="1" s="1"/>
  <c r="F309" i="1"/>
  <c r="F304" i="1"/>
  <c r="I245" i="1"/>
  <c r="I240" i="1" s="1"/>
  <c r="I244" i="1"/>
  <c r="I239" i="1" s="1"/>
  <c r="I243" i="1"/>
  <c r="I237" i="1"/>
  <c r="F269" i="1"/>
  <c r="F248" i="1"/>
  <c r="F258" i="1"/>
  <c r="F263" i="1"/>
  <c r="I207" i="1"/>
  <c r="I227" i="1"/>
  <c r="I228" i="1"/>
  <c r="I229" i="1"/>
  <c r="I230" i="1"/>
  <c r="F234" i="1"/>
  <c r="I208" i="1"/>
  <c r="I209" i="1"/>
  <c r="I210" i="1"/>
  <c r="I217" i="1"/>
  <c r="I218" i="1"/>
  <c r="I219" i="1"/>
  <c r="I220" i="1"/>
  <c r="F224" i="1"/>
  <c r="I200" i="1"/>
  <c r="I199" i="1"/>
  <c r="I198" i="1"/>
  <c r="I197" i="1"/>
  <c r="F204" i="1"/>
  <c r="I175" i="1"/>
  <c r="I174" i="1"/>
  <c r="I173" i="1"/>
  <c r="I172" i="1"/>
  <c r="F193" i="1"/>
  <c r="F188" i="1"/>
  <c r="F183" i="1"/>
  <c r="F178" i="1"/>
  <c r="I155" i="1"/>
  <c r="I154" i="1"/>
  <c r="I153" i="1"/>
  <c r="I152" i="1"/>
  <c r="I130" i="1"/>
  <c r="F158" i="1"/>
  <c r="F163" i="1"/>
  <c r="F168" i="1"/>
  <c r="N31" i="5"/>
  <c r="M31" i="5"/>
  <c r="R30" i="5"/>
  <c r="N30" i="5"/>
  <c r="M30" i="5"/>
  <c r="R29" i="5"/>
  <c r="N29" i="5"/>
  <c r="M29" i="5"/>
  <c r="R28" i="5"/>
  <c r="N28" i="5"/>
  <c r="M28" i="5"/>
  <c r="M27" i="5" s="1"/>
  <c r="R27" i="5"/>
  <c r="F148" i="1"/>
  <c r="I129" i="1"/>
  <c r="I128" i="1"/>
  <c r="I127" i="1"/>
  <c r="F133" i="1"/>
  <c r="F137" i="1"/>
  <c r="F138" i="1"/>
  <c r="F108" i="1"/>
  <c r="F94" i="1"/>
  <c r="F99" i="1"/>
  <c r="F104" i="1"/>
  <c r="F114" i="1"/>
  <c r="F79" i="1"/>
  <c r="F74" i="1"/>
  <c r="I66" i="1" l="1"/>
  <c r="I238" i="1"/>
  <c r="I246" i="1"/>
  <c r="I278" i="1"/>
  <c r="I286" i="1"/>
  <c r="O29" i="5"/>
  <c r="I60" i="1"/>
  <c r="I211" i="1"/>
  <c r="N27" i="5"/>
  <c r="O27" i="5" s="1"/>
  <c r="F177" i="1"/>
  <c r="F279" i="1"/>
  <c r="F284" i="1"/>
  <c r="I57" i="1"/>
  <c r="I156" i="1"/>
  <c r="I122" i="1"/>
  <c r="F247" i="1"/>
  <c r="F8" i="4"/>
  <c r="F307" i="1"/>
  <c r="I58" i="1"/>
  <c r="O28" i="5"/>
  <c r="R31" i="5"/>
  <c r="I59" i="1"/>
  <c r="I124" i="1"/>
  <c r="F157" i="1"/>
  <c r="F199" i="1"/>
  <c r="F222" i="1"/>
  <c r="I231" i="1"/>
  <c r="F302" i="1"/>
  <c r="I123" i="1"/>
  <c r="I125" i="1"/>
  <c r="F262" i="1"/>
  <c r="F257" i="1"/>
  <c r="F229" i="1"/>
  <c r="F162" i="1"/>
  <c r="F192" i="1"/>
  <c r="I201" i="1"/>
  <c r="F219" i="1"/>
  <c r="F232" i="1"/>
  <c r="I221" i="1"/>
  <c r="F202" i="1"/>
  <c r="I176" i="1"/>
  <c r="F187" i="1"/>
  <c r="F182" i="1"/>
  <c r="F173" i="1"/>
  <c r="F153" i="1"/>
  <c r="F167" i="1"/>
  <c r="F92" i="1"/>
  <c r="F147" i="1"/>
  <c r="F102" i="1"/>
  <c r="F132" i="1"/>
  <c r="F69" i="1"/>
  <c r="F112" i="1"/>
  <c r="I91" i="1"/>
  <c r="F97" i="1"/>
  <c r="F88" i="1"/>
  <c r="F107" i="1"/>
  <c r="F89" i="1"/>
  <c r="I10" i="1" l="1"/>
  <c r="I61" i="1"/>
  <c r="I7" i="1"/>
  <c r="F124" i="1"/>
  <c r="F67" i="1"/>
  <c r="F227" i="1"/>
  <c r="I8" i="1"/>
  <c r="F6" i="4"/>
  <c r="I9" i="1"/>
  <c r="F172" i="1"/>
  <c r="F217" i="1"/>
  <c r="F197" i="1"/>
  <c r="F152" i="1"/>
  <c r="F87" i="1"/>
  <c r="F13" i="1" l="1"/>
  <c r="F14" i="1"/>
  <c r="F19" i="1"/>
  <c r="F23" i="1"/>
  <c r="F24" i="1"/>
  <c r="F28" i="1"/>
  <c r="F29" i="1"/>
  <c r="F27" i="1" l="1"/>
  <c r="F22" i="1"/>
  <c r="F17" i="1"/>
  <c r="F12" i="1"/>
  <c r="H11" i="2"/>
  <c r="H20" i="2"/>
  <c r="I8" i="2"/>
  <c r="M35" i="2" l="1"/>
  <c r="M36" i="2"/>
  <c r="M37" i="2"/>
  <c r="H35" i="2"/>
  <c r="I35" i="2"/>
  <c r="H36" i="2"/>
  <c r="I36" i="2"/>
  <c r="H37" i="2"/>
  <c r="M34" i="2"/>
  <c r="H34" i="2"/>
  <c r="I34" i="2"/>
  <c r="N34" i="2" s="1"/>
  <c r="M33" i="2"/>
  <c r="I33" i="2"/>
  <c r="N33" i="2" s="1"/>
  <c r="H33" i="2"/>
  <c r="F43" i="1"/>
  <c r="F38" i="1"/>
  <c r="F39" i="1"/>
  <c r="F34" i="1"/>
  <c r="I46" i="1"/>
  <c r="I40" i="1"/>
  <c r="I38" i="1"/>
  <c r="I41" i="1" s="1"/>
  <c r="I36" i="1"/>
  <c r="M32" i="2" l="1"/>
  <c r="D8" i="4" s="1"/>
  <c r="N32" i="2"/>
  <c r="E8" i="4" s="1"/>
  <c r="F42" i="1"/>
  <c r="F37" i="1"/>
  <c r="F32" i="1"/>
  <c r="F243" i="1" l="1"/>
  <c r="F267" i="1"/>
  <c r="F272" i="1"/>
  <c r="F273" i="1"/>
  <c r="F283" i="1"/>
  <c r="F287" i="1"/>
  <c r="F288" i="1"/>
  <c r="F292" i="1"/>
  <c r="F293" i="1"/>
  <c r="F297" i="1"/>
  <c r="F143" i="1"/>
  <c r="F84" i="1"/>
  <c r="F282" i="1" l="1"/>
  <c r="F277" i="1"/>
  <c r="F242" i="1"/>
  <c r="F278" i="1"/>
  <c r="I16" i="1"/>
  <c r="F142" i="1"/>
  <c r="F123" i="1"/>
  <c r="I241" i="1"/>
  <c r="I281" i="1"/>
  <c r="F7" i="4"/>
  <c r="I126" i="1"/>
  <c r="F64" i="1"/>
  <c r="F77" i="1"/>
  <c r="F72" i="1"/>
  <c r="I131" i="1"/>
  <c r="F128" i="1"/>
  <c r="F82" i="1"/>
  <c r="F122" i="1" l="1"/>
  <c r="F127" i="1"/>
  <c r="F58" i="1"/>
  <c r="F53" i="1" s="1"/>
  <c r="F8" i="1"/>
  <c r="F62" i="1"/>
  <c r="F59" i="1"/>
  <c r="F54" i="1" s="1"/>
  <c r="F9" i="1"/>
  <c r="F52" i="1" l="1"/>
  <c r="I11" i="1"/>
  <c r="I21" i="1"/>
  <c r="I26" i="1"/>
  <c r="I31" i="1"/>
  <c r="F57" i="1"/>
  <c r="F7" i="1"/>
  <c r="H9" i="2"/>
  <c r="I9" i="2"/>
  <c r="H10" i="2"/>
  <c r="I10" i="2"/>
  <c r="N10" i="2" s="1"/>
  <c r="N7" i="2" s="1"/>
  <c r="E5" i="4" s="1"/>
  <c r="I11" i="2"/>
  <c r="I20" i="2"/>
  <c r="H8" i="2"/>
  <c r="M20" i="2"/>
  <c r="M9" i="2"/>
  <c r="M10" i="2"/>
  <c r="M11" i="2"/>
  <c r="M8" i="2"/>
  <c r="M7" i="2" l="1"/>
  <c r="D5" i="4" s="1"/>
  <c r="M14" i="2"/>
  <c r="D6" i="4" s="1"/>
  <c r="D7" i="4"/>
  <c r="G8" i="4" l="1"/>
  <c r="H8" i="4" s="1"/>
  <c r="G6" i="4"/>
  <c r="H6" i="4" s="1"/>
  <c r="G7" i="4" l="1"/>
  <c r="H7" i="4" s="1"/>
  <c r="F5" i="4" l="1"/>
  <c r="G5" i="4" s="1"/>
  <c r="H5" i="4" s="1"/>
</calcChain>
</file>

<file path=xl/sharedStrings.xml><?xml version="1.0" encoding="utf-8"?>
<sst xmlns="http://schemas.openxmlformats.org/spreadsheetml/2006/main" count="930" uniqueCount="310">
  <si>
    <t>№ п/п</t>
  </si>
  <si>
    <t>Муниципальная программа, подпрограмма, основное мероприятие, мероприятие</t>
  </si>
  <si>
    <t>Объемы и источники финансирования 
(тыс. руб.)</t>
  </si>
  <si>
    <t>Заплани-ровано на отчетный год</t>
  </si>
  <si>
    <t>Степень освое-ния средств</t>
  </si>
  <si>
    <t>Результаты выполнения мероприятий</t>
  </si>
  <si>
    <t>Ожидаемые результаты реализации (краткая характеристика) мероприятий</t>
  </si>
  <si>
    <t>Фактические результаты реализации (краткая характеристика) мероприятий</t>
  </si>
  <si>
    <t xml:space="preserve">Выполне-ние (да / нет / частично) </t>
  </si>
  <si>
    <t>Соисполнители</t>
  </si>
  <si>
    <t>Причины низкой степени освоения средств, невыполнения мероприятий</t>
  </si>
  <si>
    <t>Источник</t>
  </si>
  <si>
    <t xml:space="preserve">Фактическое исполнение </t>
  </si>
  <si>
    <t>Всего:</t>
  </si>
  <si>
    <t>МБ</t>
  </si>
  <si>
    <t>ФБ</t>
  </si>
  <si>
    <t>ОБ</t>
  </si>
  <si>
    <t>ВБ</t>
  </si>
  <si>
    <t xml:space="preserve">Количество мероприятий, всего, в т.ч. </t>
  </si>
  <si>
    <t>Выполнены в полном объеме</t>
  </si>
  <si>
    <t>Выполнены частично</t>
  </si>
  <si>
    <t>Не выполнены</t>
  </si>
  <si>
    <t>Степень выполнения мероприятий</t>
  </si>
  <si>
    <t>-</t>
  </si>
  <si>
    <t>1.</t>
  </si>
  <si>
    <t>1.1.</t>
  </si>
  <si>
    <t>1.1.1.</t>
  </si>
  <si>
    <t>2.</t>
  </si>
  <si>
    <t>2.1.1.</t>
  </si>
  <si>
    <t>2.1.2.</t>
  </si>
  <si>
    <t>2.1.</t>
  </si>
  <si>
    <t>3.1.</t>
  </si>
  <si>
    <t>3.1.1.</t>
  </si>
  <si>
    <t>3.1.2.</t>
  </si>
  <si>
    <t>Отчет о ходе реализации муниципальной программы</t>
  </si>
  <si>
    <t>Муниципальная программа, подпрограмма, показатель</t>
  </si>
  <si>
    <t>Ед. изм.</t>
  </si>
  <si>
    <t>Направ-ленность</t>
  </si>
  <si>
    <t>Значение показателя</t>
  </si>
  <si>
    <t>факт</t>
  </si>
  <si>
    <t>план</t>
  </si>
  <si>
    <t>Степень достиже-ния показателя (ДП)</t>
  </si>
  <si>
    <t xml:space="preserve">Причины отклонения от плана и (или) отсутствия положительной динамики </t>
  </si>
  <si>
    <t>Предлагаемые меры по улучшению значений показателя</t>
  </si>
  <si>
    <t>Степень достижения показателя для расчета К1</t>
  </si>
  <si>
    <t>Динамика значения показателя для расчета К2</t>
  </si>
  <si>
    <t>0.1.</t>
  </si>
  <si>
    <t>0.2.</t>
  </si>
  <si>
    <t>0.3.</t>
  </si>
  <si>
    <t>0.4.</t>
  </si>
  <si>
    <t>0.5.</t>
  </si>
  <si>
    <t>1.2.</t>
  </si>
  <si>
    <t>1.3.</t>
  </si>
  <si>
    <t>1.4.</t>
  </si>
  <si>
    <t xml:space="preserve">2. </t>
  </si>
  <si>
    <t>Динамика значения показателя по сравнению с предшествующим годом (Дин)</t>
  </si>
  <si>
    <t>Соисполнитель, ответственный за выполнение показателя</t>
  </si>
  <si>
    <t>Информация о реализации мер финансовой поддержки в сфере реализации муниципальной программы</t>
  </si>
  <si>
    <t>Муниципальная программа, подпрограмма</t>
  </si>
  <si>
    <t>Ответственный исполнитель</t>
  </si>
  <si>
    <t>К1 (степень достижения показателей)</t>
  </si>
  <si>
    <t>К2 (динамика значений показателей по сравнению с предшествующим годом)</t>
  </si>
  <si>
    <t>К3 (степень выполнения мероприятий)</t>
  </si>
  <si>
    <t>ЭГП (интегральный показатель эффективности)</t>
  </si>
  <si>
    <t>Оценка</t>
  </si>
  <si>
    <t>Наименование меры финансовой поддержки</t>
  </si>
  <si>
    <t>Цель предоставления</t>
  </si>
  <si>
    <t>Нормативный акт</t>
  </si>
  <si>
    <t>Связь с показателями муниципальной программы</t>
  </si>
  <si>
    <t>Информация о реализации</t>
  </si>
  <si>
    <t>АГМ, СД</t>
  </si>
  <si>
    <t xml:space="preserve">3. </t>
  </si>
  <si>
    <t>3.2.</t>
  </si>
  <si>
    <t>Подпрограмма 4 "Поддержка общественных и гражданских инициатив в городе Мурманске"</t>
  </si>
  <si>
    <t xml:space="preserve">4. </t>
  </si>
  <si>
    <t>4.1.</t>
  </si>
  <si>
    <t>4.1.1.</t>
  </si>
  <si>
    <t>4.1.2.</t>
  </si>
  <si>
    <t>4.1.3.</t>
  </si>
  <si>
    <t>Мероприятие "Расходы на выплаты по оплате труда работников органов местного самоуправления"</t>
  </si>
  <si>
    <t>Мероприятие "Расходы на обеспечение функций работников органов местного самоуправления"</t>
  </si>
  <si>
    <t>частично</t>
  </si>
  <si>
    <t>%</t>
  </si>
  <si>
    <t>3.</t>
  </si>
  <si>
    <t>1.5.</t>
  </si>
  <si>
    <t>«Социальная поддержка» на 2023-2028 годы</t>
  </si>
  <si>
    <t>Муниципальная программа «Социальная поддержка»</t>
  </si>
  <si>
    <t>КО</t>
  </si>
  <si>
    <t>КИО</t>
  </si>
  <si>
    <t>КТРиС</t>
  </si>
  <si>
    <t>КРГХ</t>
  </si>
  <si>
    <t>КЖП</t>
  </si>
  <si>
    <t>КК</t>
  </si>
  <si>
    <t>Основное мероприятие "Устройство детей-сирот и детей, оставшихся без попечения родителей в семьи опекунов, попечителей, приемные семьи"</t>
  </si>
  <si>
    <t>1.1.1.1.</t>
  </si>
  <si>
    <t>1.1.1.2</t>
  </si>
  <si>
    <t>1.1.1.3.</t>
  </si>
  <si>
    <t>Мероприятие "Субвенция на содержание ребенка в семье опекуна (попечителя) и приемной семье, а также вознаграждение, причитающееся приемному родителю"</t>
  </si>
  <si>
    <t>Мероприятие "Предоставление полного государственного обеспечения детям - сиротам и детям, оставшимся без попечения родителей, воспитывающимся в семьях опекунов, попечителей"</t>
  </si>
  <si>
    <t>Мероприятие "Предоставление полного государственного обеспечения детям - сиротам и детям, оставшимся без попечения родителей, воспитывающимся в приемных семьях"</t>
  </si>
  <si>
    <t>Мероприятие "Предоставление вознаграждения приемному родителю"</t>
  </si>
  <si>
    <t>1.2.1.</t>
  </si>
  <si>
    <t>1.2.2.</t>
  </si>
  <si>
    <t>1.2.3.</t>
  </si>
  <si>
    <t>1.2.4.</t>
  </si>
  <si>
    <t>1.2.5.</t>
  </si>
  <si>
    <t>Основное мероприятие "Обеспечение защиты жилищных и имущественных прав детей-сирот и детей, оставшихся без попечения родителей, лиц из их числа, профилактика социального сиротства"</t>
  </si>
  <si>
    <t>Мероприятие "Субвенция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</si>
  <si>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Мероприятие "Субвенция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</si>
  <si>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Мероприятие "Субвенция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</si>
  <si>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Мероприятие "Организация мероприятий по ремонту квартир (жилых помещений), закрепленных за лицами из числа детей-сирот и детей, оставшихся без попечения родителей"</t>
  </si>
  <si>
    <t>Мероприятие "Субвенция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 сиротами и детьми, оставшимися без попечения родителей, лицами из числа детей-сирот и детей, оставшихся без попечения родителей"</t>
  </si>
  <si>
    <t>Мероприятие "Обеспечение социальных гарантий и усиление адресной направленности дополнительных мер социальной поддержки отдельных категорий граждан"</t>
  </si>
  <si>
    <t>Мероприятие "Организация мероприятий по выполнению текущего ремонта квартир ветеранов Великой Отечественной войны"</t>
  </si>
  <si>
    <t>Мероприятие "Предоставление дополнительного пенсионного обеспечения муниципальным служащим в органах местного самоуправления муниципального образования город Мурманск и лицам, замещавшим муниципальные должности в муниципальном образовании город Мурманск"</t>
  </si>
  <si>
    <t>2.1.3.</t>
  </si>
  <si>
    <t>2.1.4.</t>
  </si>
  <si>
    <t>Подпрограмма 2 "Социальная поддержка отдельных категорий граждан"</t>
  </si>
  <si>
    <t>2.2.</t>
  </si>
  <si>
    <t>2.2.2.</t>
  </si>
  <si>
    <t>2.2.3.</t>
  </si>
  <si>
    <t>2.2.1.</t>
  </si>
  <si>
    <t>2.3.</t>
  </si>
  <si>
    <t>2.3.1.</t>
  </si>
  <si>
    <t>2.3.2.</t>
  </si>
  <si>
    <t>2.3.3.</t>
  </si>
  <si>
    <t>2.3.4.</t>
  </si>
  <si>
    <t>Основное мероприятие: обеспечение реализации льгот лицам, удостоенным звания "Почетный гражданин города-героя Мурманска"</t>
  </si>
  <si>
    <t>Мероприятие "Реализация положения о звании "Почетный гражданин города-героя Мурманска" в части предоставления ежемесячной доплаты к государственной (трудовой) пенсии"</t>
  </si>
  <si>
    <t>Мероприятие "Реализация положения о звании "Почетный гражданин города-героя Мурманска" в части предоставления ежегодной единовременной материальной помощи на санаторное лечение и оздоровительные мероприятия"</t>
  </si>
  <si>
    <t>Мероприятие "Реализация положения о звании "Почетный гражданин города-героя Мурманска" в части обеспечения единым социальным проездным билетом"</t>
  </si>
  <si>
    <t>Мероприятие "Реализация положения о звании "Почетный гражданин города-героя Мурманска" в части возмещения расходов за ритуальные услуги, оказанные специализированными организациями"</t>
  </si>
  <si>
    <t>2.4.</t>
  </si>
  <si>
    <t>2.4.1.</t>
  </si>
  <si>
    <t>Основное мероприятие: предоставление и организация выплаты вознаграждения опекунам совершеннолетних недееспособных граждан</t>
  </si>
  <si>
    <t>Мероприятие "Субвенция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</si>
  <si>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2.5.</t>
  </si>
  <si>
    <t>2.5.1.</t>
  </si>
  <si>
    <t>2.6.</t>
  </si>
  <si>
    <t>2.6.1.</t>
  </si>
  <si>
    <t>Основное мероприятие: предоставление субсидий юридическим лицам, индивидуальным предпринимателям на возмещение затрат, связанных с оказанием мер социальной поддержки отдельным категориям граждан по оплате жилья и коммунальных услуг</t>
  </si>
  <si>
    <t>Мероприятие "Возмещение  юридическим лицам, индивидуальным предпринимателям затрат, связанных с оказанием мер социальной поддержки жителям и защитникам блокадного Ленинграда по оплате жилья и коммунальных услуг"</t>
  </si>
  <si>
    <t>2.7.</t>
  </si>
  <si>
    <t>2.7.1.</t>
  </si>
  <si>
    <t>Основное мероприятие: возмещение расходов по гарантированному перечню услуг по погребению</t>
  </si>
  <si>
    <t>Мероприятие "Субвенция на возмещение расходов по гарантированному перечню услуг по погребению"</t>
  </si>
  <si>
    <t>КО, КИО, КТРиС</t>
  </si>
  <si>
    <t>3.1.3.</t>
  </si>
  <si>
    <t>3.1.4.</t>
  </si>
  <si>
    <t>3.1.5.</t>
  </si>
  <si>
    <t>3.1.6.</t>
  </si>
  <si>
    <t>Мероприятие "Приобретение оборудования и технических средств адаптации для оснащения учреждений культуры и дополнительного образования (детских школ искусств (по видам искусств)"</t>
  </si>
  <si>
    <t>Мероприятие "Приобретение оборудования и технических средств адаптации для оснащения учреждений молодежной политики"</t>
  </si>
  <si>
    <t>Мероприятие "Субсидия муниципальным образованиям на обеспечение условий доступности входных групп многоквартирных домов с учетом потребностей инвалидов "</t>
  </si>
  <si>
    <t>Мероприятие "Софинансирование за счет средств местного бюджета к субсидии из областного бюджета на обеспечение условий доступности входных групп многоквартирных домов с учетом потребностей инвалидов"</t>
  </si>
  <si>
    <t>Подпрограмма 3 "Создание доступной среды для инвалидов и других маломобильных групп населения на территории города Мурманска"</t>
  </si>
  <si>
    <t>Основное мероприятие: эффективное управление в сфере предоставления населению города дополнительных мер социальной поддержки и оказания социальной помощи, в области взаимодействия с социально ориентированными некоммерческими организациями и общественными объединениями, в области муниципальной молодежной политики</t>
  </si>
  <si>
    <t>Мероприятие "Субвенция на реализацию Закона Мурманской области «О наделении органов местного самоуправления муниципальных образований со статусом городского округа и муниципального района отдельными государственными полномочиями по опеке и попечительству в отношении совершеннолетних граждан»</t>
  </si>
  <si>
    <t>4.1.4.</t>
  </si>
  <si>
    <t>4.1.5.</t>
  </si>
  <si>
    <t>Мероприятие "Субвенция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</si>
  <si>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Муниципальная программа "Социальная поддержка"</t>
  </si>
  <si>
    <t>0.6.</t>
  </si>
  <si>
    <t>Доля детей-сирот и детей, оставшихся без попечения родителей, устроенных в замещающие семьи, от общей численности детей-сирот и детей, оставшихся без попечения родителей</t>
  </si>
  <si>
    <t>Доля детей-сирот и детей, оставшихся без попечения родителей, охваченных дополнительными мерами социальной поддержки в соответствии с нормативными правовыми актами Мурманской области, от общего числа детей-сирот и детей, оставшихся без попечения родителей, имеющих право на дополнительные меры социальной поддержки</t>
  </si>
  <si>
    <t>Общее количество граждан, получивших дополнительные меры социальной поддержки и оказанные услуги</t>
  </si>
  <si>
    <t>чел</t>
  </si>
  <si>
    <t>Доля организаций, индивидуальных предпринимателей, получивших субсидию на возмещение затрат, связанных с оказанием мер социальной поддержки отдельным категориям граждан по оплате жилья и коммунальных услуг, от общего числа обратившихся за ее получением</t>
  </si>
  <si>
    <t>Количество объектов социальной инфраструктуры, в которых реализуются мероприятия по обеспечению условий доступности для инвалидов и других маломобильных групп населения (нарастающим итогом)</t>
  </si>
  <si>
    <t>Доля фактически приспособленных жилых помещений и (или) общедомового имущества в многоквартирных домах с учетом потребностей инвалидов от запланированного количества (на соответствующий год)</t>
  </si>
  <si>
    <t xml:space="preserve">Подпрограмма 1 "Оказание мер социальной поддержки детям-сиротам и детям, оставшимся без попечения родителей, лицам из их числа"
</t>
  </si>
  <si>
    <t>1.6.</t>
  </si>
  <si>
    <t xml:space="preserve">Количество детей-сирот и детей, оставшихся без попечения родителей, воспитывающихся в семьях опекунов, попечителей
</t>
  </si>
  <si>
    <t>ед</t>
  </si>
  <si>
    <t>Количество детей-сирот и детей, оставшихся без попечения родителей, воспитывающихся в приемных семьях</t>
  </si>
  <si>
    <t>Число детей, над которыми установлен социальный и постинтернатный патронат</t>
  </si>
  <si>
    <t>Число детей-сирот и детей, оставшихся без попечения родителей, лиц из их числа, которым предоставлена ежемесячная жилищно-коммунальная выплата</t>
  </si>
  <si>
    <t>Число детей-сирот и детей, оставшихся без попечения родителей, лиц из их числа, которым предоставлены благоустроенные жилые помещения специализированного жилищного фонда по договорам найма специализированных жилых помещений</t>
  </si>
  <si>
    <t>Число детей-сирот и детей, оставшихся без попечения родителей, лиц из их числа, которым осуществлен ремонт жилых помещений, собственниками которых они являются, либо текущий ремонт жилых помещений, право пользования которыми за ними сохранено</t>
  </si>
  <si>
    <t xml:space="preserve">Подпрограмма 2 "Социальная поддержка отдельных категорий граждан".
</t>
  </si>
  <si>
    <t>2.8.</t>
  </si>
  <si>
    <t>2.9.</t>
  </si>
  <si>
    <t>2.10.</t>
  </si>
  <si>
    <t xml:space="preserve">Количество трудоустроенных граждан
</t>
  </si>
  <si>
    <t>Количество граждан, которым были предоставлены дополнительные меры социальной поддержки</t>
  </si>
  <si>
    <t>Количество отремонтированных квартир ветеранов Великой Отечественной войны</t>
  </si>
  <si>
    <t>Количество выплат на возмещение стоимости услуг по погребению умерших</t>
  </si>
  <si>
    <t>Количество опекунов совершеннолетних недееспособных граждан, получающих вознаграждение</t>
  </si>
  <si>
    <t>Количество граждан, получивших материальную помощь</t>
  </si>
  <si>
    <t>Количество участников и инвалидов Великой Отечественной войны, получивших единовременную материальную помощь</t>
  </si>
  <si>
    <t>Количество получателей льгот, установленных Почетным гражданам города-героя Мурманска и членам их семей</t>
  </si>
  <si>
    <t>Количество получателей ежемесячной жилищно-коммунальной выплаты</t>
  </si>
  <si>
    <t>Количество юридических лиц, индивидуальных предпринимателей, которым 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t>
  </si>
  <si>
    <t>КТРиС, КО</t>
  </si>
  <si>
    <t>3.3.</t>
  </si>
  <si>
    <t>3.4.</t>
  </si>
  <si>
    <t>3.5.</t>
  </si>
  <si>
    <t xml:space="preserve">Подпрограмма 3 "Создание доступной среды для инвалидов и других маломобильных групп населения на территории города Мурманска".
</t>
  </si>
  <si>
    <t>Количество объектов дошкольного, общего и дополнительного образования, в которых реализованы мероприятия по обеспечению доступности для инвалидов и других маломобильных групп населения (нарастающим итогом)</t>
  </si>
  <si>
    <t xml:space="preserve">Количество учреждений культуры и дополнительного образования (детских школ искусств (по видам искусств), в которых реализованы мероприятия по обеспечению условий доступности для инвалидов и других маломобильных групп населения, подведомственных комитету по культуре администрации города Мурманска (нарастающим итогом)
</t>
  </si>
  <si>
    <t>Количество приспособленных жилых помещений и (или) общедомового имущества в многоквартирных домах с учетом потребностей инвалидов</t>
  </si>
  <si>
    <t>Количество объектов МАУ МП "Объединение молодежных центров", в которых реализованы мероприятия по обеспечению доступности для инвалидов и других маломобильных групп населения (нарастающим итогом)</t>
  </si>
  <si>
    <t>Количество приспособленных входных групп многоквартирных домов с учетом потребностей инвалидов</t>
  </si>
  <si>
    <t>Оценка эффективности реализации муниципальной программы «Социальная поддержка»</t>
  </si>
  <si>
    <t>Подпрограмма 1 "Оказание мер социальной поддержки детям-сиротам и детям, оставшимся без попечения родителей, лицам из их числа" на 2023 - 2028 годы</t>
  </si>
  <si>
    <t>Подпрограмма 2 "Социальная поддержка отдельных категорий граждан" на 2023 - 2028 годы</t>
  </si>
  <si>
    <t>Подпрограмма 3 "Создание доступной среды для инвалидов и других маломобильных групп населения на территории города Мурманска" на 2023 - 2028 годы</t>
  </si>
  <si>
    <t>Возмещение юридическим лицам, индивидуальным предпринимателям затрат, связанных с оказанием мер социальной поддержки жителям и защитникам блокадного Ленинграда по оплате жилья и коммунальных услуг</t>
  </si>
  <si>
    <t>Возмещение затрат управляющих организаций, ТСЖ, ЖСК, ресурсоснабжающих организаций и индивидуальных предпринимателей по оказанию мер социальной поддержки жителям и защитникам блокадного Ленинграда по оплате жилья и коммунальных услуг</t>
  </si>
  <si>
    <t>Решение Мурманского городского Совета от 21.12.1990 N 9 "О дополнительных льготах бывшим жителям или защитникам блокадного Ленинграда", постановление администрации города Мурманска от 13.11.2017 N 3614 "Об утверждении порядка возмещения юридическим лицам, индивидуальным предпринимателям затрат, связанных с оказанием мер социальной поддержки жителям или защитникам блокадного Ленинграда по оплате жилья и коммунальных услуг", постановление администрации города Мурманска от 13.11.2017 3613 "Об утверждении порядка возмещения некоммерческим организациям затрат, связанных с оказанием мер социальной поддержки жителям или защитникам блокадного Ленинграда по оплате жилья и коммунальных услуг"</t>
  </si>
  <si>
    <t>да</t>
  </si>
  <si>
    <t>Фактическое количество выплат</t>
  </si>
  <si>
    <t xml:space="preserve">В соответствии с законом Мурманской области от 29.12.2004 N 581-01-ЗМО (ред. от 22.12.2023) "О возмещении стоимости услуг и выплате социального пособия на погребение" </t>
  </si>
  <si>
    <t>Предоставление дополнительных мер социальной поддержки: приобретение сувенирной и наградной продукции, услуги связи, содержание подъемной платформы, выдача талонов на бесплатное посещение общего отдения бань, выдача талонов на бесплатное питание. Количество граждан, которым были предоставлены дополнительные меры социальной поддержки - 958 чел.</t>
  </si>
  <si>
    <t>Предоставление дополнительного пенсионного обеспечения муниципальным служащим в органах местного самоуправления муниципального образования город Мурманск и лицам, замещавшим муниципальные должности в муниципальном образовании город Мурманск</t>
  </si>
  <si>
    <t xml:space="preserve">Возмещения расходов за ритуальные услуги, оказанные специализированными организациями </t>
  </si>
  <si>
    <t>Оплата труда работников органов местного самоуправления</t>
  </si>
  <si>
    <t>Осуществление переданных государственных полномочий</t>
  </si>
  <si>
    <t>Заявительный характер</t>
  </si>
  <si>
    <t xml:space="preserve">Дефицит строительства многоквартирных домов на территории города Мурманска, нестабильность цен на рынке недвижимости города Мурманска с периодами значительного роста, отсутствие жилых помещений на вторичном рынке жилья с требуемыми характеристиками </t>
  </si>
  <si>
    <t xml:space="preserve">Мероприятие "Приспособление жилых помещений и (или) общего имущества в многоквартирных домах с учетом потребностей инвалидов, в том числе обследования, изыскания, экспертизы"  </t>
  </si>
  <si>
    <t>Снижение общей численности детей-сирот; заявительный характер; 60% лиц из числа детей-сирот обеспечены жильем во второй половине года</t>
  </si>
  <si>
    <t>Снижение общей численности детей-сирот;  увеличение доли детей-сирот, устроенных в приемные семьи; выпуск  детей-сирот из семьи по достижении 18 лет или выбытие на ПМЖ в другой субъект РФ</t>
  </si>
  <si>
    <t>Обеспечение функций работников органов местного самоуправления</t>
  </si>
  <si>
    <t>Заявительный характер  мероприятия</t>
  </si>
  <si>
    <t>Заявительный характер мероприятия</t>
  </si>
  <si>
    <t>Фактическое число получателей материальной помощи не подлежит точному прогнозированию</t>
  </si>
  <si>
    <t>Увеличение количества жилых помещений для предоставления детям-сиротам и детям, оставшимся без попечения родителей, за счет выселения граждан, лишенных родительских прав, в судебном порядке по требованию органа опеки и попечительства в другое жилое помещение по договору социального найма, размер которого соответствует размеру жилого помещения, установленному для вселения граждан в общежити, если совместное проживание граждан с детьми, в отношении которых они лишены родительских прав, признано судом невозможным.</t>
  </si>
  <si>
    <t>Мероприятие: "Оказание материальной помощи инвалидам"</t>
  </si>
  <si>
    <t>Мероприятие: "Единовременная материальная помощь участникам и инвалидам Великой Отечественной войны в связи с празднованием Дня Победы"</t>
  </si>
  <si>
    <t>1.2.6.</t>
  </si>
  <si>
    <t>Мероприятие "Субвенции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(за счет средств резервного фонда Правительства Мурманской области)"</t>
  </si>
  <si>
    <t>Финансирование трудоустройства 50 граждан, зарегистрированных в органах службы занятости в целях поиска подходящей работы.</t>
  </si>
  <si>
    <t xml:space="preserve">Возмещение юридическим лицам, индивидуальным предпринимателям затрат, связанных с оказанием мер социальной поддержки жителям и защитникам блокадного Ленинграда по оплате жилья и коммунальных услуг
Возмещение затрат управляющих организаций, ТСЖ, ЖСК, ресурсоснабжающих организаций и индивидуальных предпринимателей по оказанию мер социальной поддержки жителям и защитникам блокадного Ленинграда по оплате жилья и коммунальных услугРешение Мурманского городского Совета от 21.12.1990 N 9 "О дополнительных льготах бывшим жителям или защитникам блокадного Ленинграда", постановление администрации города Мурманска от 13.11.2017 N 3614 "Об утверждении порядка возмещения юридическим лицам, индивидуальным предпринимателям затрат, связанных с оказанием мер социальной поддержки жителям или защитникам блокадного Ленинграда по оплате жилья и коммунальных услуг", постановление администрации города Мурманска от 13.11.2017 3613 "Об утверждении порядка возмещения некоммерческим организациям затрат, связанных с оказанием мер социальной поддержки жителям или защитникам блокадного Ленинграда по оплате жилья и коммунальных услуг"                    0.4. Доля организаций, индивидуальных предпринимателей, получивших субсидию на возмещение затрат, связанных с оказанием мер социальной поддержки отдельным категориям граждан по оплате жилья и коммунальных услуг, от общего числа обратившихся за ее получением.
2.10. Количество юридических лиц, индивидуальных предпринимателей, которым 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
</t>
  </si>
  <si>
    <t>Сохранение значения показателя "Доля детей-сирот и детей, оставшихся без попечения родителей, устроенных в замещающие семьи, от общей численности детей-сирот и детей, оставшихся без попечения родителей" на уровне 90%</t>
  </si>
  <si>
    <t xml:space="preserve">Предоставление выплаты вознаграждения 56 опекунам совершеннолетних недееспособных граждан </t>
  </si>
  <si>
    <t>Предоставление материальной помощи гражаднам, оказавшимся в трудной жизненной ситуации, в количестве 1500 получателей</t>
  </si>
  <si>
    <t xml:space="preserve">Предусмотрено предоставление единоразовой выплаты  по случаю Международного дня инвалидов </t>
  </si>
  <si>
    <t>Основное мероприятие: обеспечение дополнительных мер социальной поддержки отдельных категорий граждан</t>
  </si>
  <si>
    <t>Основное мероприятие: оказание материальной поддержки отдельным категориям граждан</t>
  </si>
  <si>
    <t xml:space="preserve">Основное мероприятие: реализация прав на меры социальной поддержки отдельных категорий граждан в связи с упразднением поселка городского типа Росляково
</t>
  </si>
  <si>
    <t>Мероприятие "Субвенция бюджету муниципального образования городской округ город-герой Мурманск на реализацию Закона Мурманской области от 19.12.2014 № 1811-01-ЗМО "О сохранении права на меры социальной поддержки отдельных категорий граждан в связи с упразднением поселка городского типа Росляково" в части предоставления мер социальной поддержки по оплате жилого помещения и (или) коммунальных услуг"</t>
  </si>
  <si>
    <t xml:space="preserve">Основное мероприятие: проведение мероприятий по адаптации объектов социальной инфраструктуры для инвалидов и других маломобильных групп населения </t>
  </si>
  <si>
    <t>Мероприятие "Приобретение оборудования, спортивного инвентаря, технических средств адаптации для оснащения муниципальных образовательных учреждений города Мурманска, реализующих образовательные программы дошкольного, начального общего, основного общего, среднего общего и дополнительного образования"</t>
  </si>
  <si>
    <t>Подпрограмма 4 "Обеспечение деятельности комитета по социальной поддержке, взаимодействию с общественными организациями и делам молодежи администрации города Мурманска"</t>
  </si>
  <si>
    <t xml:space="preserve">Мероприятие: "Оказание материальной помощи лицам, оказавшимся в трудной жизненной ситуации" </t>
  </si>
  <si>
    <t>в первом полугодии 2025 года</t>
  </si>
  <si>
    <t>за первое полугодие 2025 года</t>
  </si>
  <si>
    <t xml:space="preserve">Муниципальная программа "Социальная поддержка"                                                                                                                                                                                                                                                                                                                                                              </t>
  </si>
  <si>
    <t>Всего</t>
  </si>
  <si>
    <t>КСПиОЗ</t>
  </si>
  <si>
    <t>КТРиС, КСПиОЗ, КЖП, КРГХ</t>
  </si>
  <si>
    <t>КТРиС, КСПиОЗ</t>
  </si>
  <si>
    <t>КО, КТРиС, КК, КСПиОЗ</t>
  </si>
  <si>
    <t>АГМ</t>
  </si>
  <si>
    <t xml:space="preserve">КСПиОЗ, КО, КК
</t>
  </si>
  <si>
    <t xml:space="preserve">КСПиОЗ, КЖП, КРГХ, КТРИС
</t>
  </si>
  <si>
    <t>Выплата вознаграждения приемным родителям производится в месяце, следующем за отчетным</t>
  </si>
  <si>
    <t>Детям указанной категории за время пребывания в приемных семьях полное государственное обеспечение предоставляется ежемесячно. Среднегодовая численность детей-сирот и детей, оставшихся без попечения родителей, воспитывающихся в приемных семьях, на отчетную дату составляет 245,3 человек. (Исполнение показателя составило 90,9%).</t>
  </si>
  <si>
    <t>Детям указанной категории за время пребывания в семье опекуна, попечителя полное государственное обеспечение предоставляется ежемесячно. Среднегодовая численность  детей-сирот и детей, оставшихся без попечения родителей, воспитывающихся в семьях опекунов и попечителей, на отчетную дату составляет 318,7 человек. (Исполнение показатея составило 92,1%).</t>
  </si>
  <si>
    <t>Плановое значение показателя 1.2 "Количество детей-сирот и детей, оставшихся без попечения родителей, воспитывающихся в приемных семьях" на 2025 год - 270 человек.</t>
  </si>
  <si>
    <t>Плановое значение показателя 1.1 "Количество детей-сирот и детей, оставшихся без попечения родителей, воспитывающихся в семьях опекунов и попечителей"на 2025 год - 346 человек.</t>
  </si>
  <si>
    <t xml:space="preserve"> Плановое значение показателя 1.3. "Число детей, над которыми установлен социальный и постинтернатный патронат" на 2025 год - 100 человек. </t>
  </si>
  <si>
    <t>Среднегодовая численность детей, над которыми установлен социальный и постинтернатный патронат – 100 человек (Исполнение составило 100%). Выплата лицам, осуществляющим социальный и постинтернатный патронат, осуществляется ежемесячно в полном объеме.</t>
  </si>
  <si>
    <t xml:space="preserve"> Плановое значение показателя 1.4. "Число детей-сирот и детей, оставшихся без попечения родителей, лиц из их числа, которым предоставлена ежемесячная жилищно-коммунальная выплата" на 2025 год - 420 человек. </t>
  </si>
  <si>
    <t>Ежемесячная денежная выплата на оплату жилого помещения и коммунальных услуг (ЕЖКВ) в среднем в месяц предоставлялась  391 человеку, что составляет 93,1%.</t>
  </si>
  <si>
    <t>Выплата вознаграждения лицам, осуществляющим постинтернатный патронат, производится в месяце, следующем за отчетным</t>
  </si>
  <si>
    <t xml:space="preserve"> Плановое значание показателя 1.5. "Число детей-сирот и детей, оставшихся без попечения родителей, лиц из их числа, которым предоставлены благоустроенные жилые помещения специализированного жилищного фонда по договорам найма специализированных жилых помещений" на 2025 год - 131 человек. </t>
  </si>
  <si>
    <t>За 6 месяцев 2025 года опубликовано 33 извещения о проведении закупок способом электронного аукциона. По результатам проведенных электронных аукционов заключен один муниципальный контракт на приобретение однокомнатной квартиры.
Вместе с тем, в настоящее время для предоставления детям-сиротам готовы 47 жилых помещений, приобретенных в 2024 году. Из них 24 расположены в новом многоквартирном доме 9 по улице Успенского и 23 приобретены на вторичном рынке недвижимости.</t>
  </si>
  <si>
    <t xml:space="preserve"> Плановое значение показателя 1.6. "Число детей-сирот и детей, оставшихся без попечения родителей, лиц из их числа, которым осуществлен ремонт жилых помещений, собственниками которых они являются, либо текущий ремонт жилых помещений, право пользования которыми за ними сохранено" на 2025 год - 20 человек. </t>
  </si>
  <si>
    <t xml:space="preserve">На конец 2025 года 54 объекта дошкольного, общего и дополнительного образования, в которых реализованы мероприятия по обеспечению доступности для инвалидов и других маломобильных групп населения (нарастающим итогом) </t>
  </si>
  <si>
    <t>Дальнейшая реализация мероприятия запланирована на II полугодие 2025 года</t>
  </si>
  <si>
    <t>нет</t>
  </si>
  <si>
    <t>Мероприятие "Расходы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</si>
  <si>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Количество отремонтированных квартир ветеранов Великой Отечественной войны - 3 ед.</t>
  </si>
  <si>
    <t>Количество приспособленных жилых помещений и (или) общедомового имущества в многоквартирных домах с учетом потребностей инвалидов - 10 ед.</t>
  </si>
  <si>
    <t xml:space="preserve">Количество приспособленных жилых помещений и (или) общедомового имущества в многоквартирных домах с учетом потребностей инвалидов - 3 ед.
Заключены контракты по приспособлению жилых помещений и общего имущества с учетом потребностей инвалидов в городе Мурманске (в целях социального обеспечения): 
- от 08.05.2024 № 125 на выполнение работ по приспособлению жилого помещения и общего имущества с учетом потребностей инвалидов по объектам: «Многоквартирные дома, расположенные по адресам: улица Беринга, дом 2, подъезд 1; улица Зои Космодемьянской, дом 26, подъезд 2; улица Капитана Копытова, дом 22, квартира 1 в городе Мурманске» (в целях социального обеспечения), подрядная организация ООО «Некст» ТСК, со сроком окончания работ – 25.09.2024. В 2024 году в полном объеме выполнены работы и оплачены по двум адресам, в том числе: улица Беринга, дом 2, подъезд 1, улица Капитана Копытова, дом 22, квартира 1. Работы по приспособлению жилого помещения и общего имущества, расположенного по адресу: улица Зои Космодемьянской, дом 26, подъезд 2 выполнялись c отставанием от графика производства работ, в настоящее время работы выполнены и оплачены на сумму 408,9 тыс. руб.;
- от 18.12.2024 № 315 на выполнение работ по приспособлению жилого помещения с учетом потребностей инвалидов по объекту: «Многоквартирный дом, расположенный по адресу: улица Генералова, дом 3/20, квартира 59 в городе Мурманске» (в целях социального обеспечения), подрядная организация ИП Ванюкова Л.С. со сроком окончания работ – 22.02.2025. Сроки выполнения муниципального контракта нарушены. Работы выполнены и оплачены на сумму 249,0 тыс. руб.
В связи с тем, что в процессе выполнения работ по вышеуказанному заключенному муниципальному контракту появилась необходимость в дополнительных работах, ММКУ УКС заключило муниципальный контракт 
от 24.03.2025 № 101 с подрядной организацией ИП Ванюкова Л.С. со сроком окончания работ - 06.05.2025. Работы выполнены и оплачены, на сумму 89,2 тыс. руб.;
- от 18.02.2025 № 59 на выполнение работ по приспособлению общего имущества с учетом потребностей инвалидов по объекту: «Многоквартирный дом, расположенный по адресу: улица Капитана Копытова, дом 39, подъезд 3 в городе Мурманске» (в целях социального обеспечения), подрядная организация ИП Савин Р.П., со сроком окончания работ – 16.04.2025. Работы выполнены и оплачены, на сумму 66,9 тыс. руб;
- от 02.06.2025 № 133 на выполнение работ по приспособлению жилого помещения и общего имущества для инвалидов с учетом потребностей инвалидов по объекту: «Многоквартирные дома, расположенные по адресам: проспект Кирова, дом 28В, подъезд 3; улица Карла Маркса, дом 55, квартира 38; улица Генерала Журбы, дом 10 в городе Мурманске» (в целях социального обеспечения), подрядная организация ООО «Владимир-Строй», со сроком окончания работ – 02.09.2025, выплачен аванс по 1 этапу на сумму 73,5 тыс. руб.;
- от 07.04.2025 № 104 на выполнение работ по приспособлению общего имущества для инвалидов с учетом потребностей инвалидов по объектам: «Многоквартирные дома, расположенные по адресам: ул. Алексея Генералова, дом 3/20, подъезд 5; улица Радищева, д. 13; улица Старостина, дом 13 корпус 1 в городе Мурманске» (в целях социального обеспечения). В настоящее время муниципальный контракт расторгнут.
В настоящее время в адрес ММКУ «Управление закупок» направлены закупки на выполнение работ по приспособлению жилых помещений и (или) общего имущества для инвалидов с учетом потребностей инвалидов по следующим адресам:
- ул. Генералова, д. 3/20, п. 5;
- ул. Радищева, д. 13;
- ул. Старостина, д. 13/1;
- пр. Кирова, д. 45, кв. 2;
- ул. Карла Маркса, д. 59, п. 1;
- ул. Саши Ковалева, д. 10, п. 1;
- ул. Крупской, д. 20, п. 2;
- ул. Морская, д. 1, п. 1;
- ул. Морская, д. 11, п. 1.
Заключены контракты на инженерно-геологические изыскания после проведения работ по приспособлению имущества для инвалида по адресам:                                                                                                                   
- ул. Зои Космодемьянской, д. 26, п. 2, от 19.02.2025 № 60 на сумму 78,8 тыс. руб., работы выполнены и оплачены.                                   
- пр. Кольский, д. 10, от 19.02.2025 № 61 на сумму 77,2 тыс. руб., работы выполнены и оплачены.                                             - ул. Беринга, д. 2, п. 1, от 19.02.2025 № 62 на сумму 78,8 тыс. руб., работы выполнены и оплачены.                                       
</t>
  </si>
  <si>
    <t>Низкое исполнение бюджета связано с расторжением муниципального контракта от 07.04.2025 № 104, выполнением работ по заключенным муниципальным контрактам в 3 квартале 2025 года, а также планируемыми к заключению муниципальными контрактами в 3 - 4 квартале 2025 года.</t>
  </si>
  <si>
    <t xml:space="preserve">Общая численность детей-сирот и детей, оставшихся без попечения родителей, в городе Мурманске на отчетную дату составляет 889  человек. Доля детей-сирот и детей, оставшихся без попечения родителей, устроенных в замещающие семьи, от общей численности детей-сирот составила 90,2% (802 человека). Исполнение показателя составило 100,2%. Меры социальной поддержки предоставляются ежемесячно в полном объеме. </t>
  </si>
  <si>
    <t>Выплата будет приурочена к международному дню инвалидов, который отмечается 3 декабря.</t>
  </si>
  <si>
    <t xml:space="preserve">Осуществление выплаты 15 участникам Великой Отечественной войны и инвалидам Великой Отечественной войны </t>
  </si>
  <si>
    <t xml:space="preserve">По состоянию на 01.04.2025 года в городе Мурманске проживало 9 ветеранов ВОв </t>
  </si>
  <si>
    <t xml:space="preserve">Заявительный характер </t>
  </si>
  <si>
    <t xml:space="preserve">Заявительный характер предоставления субсидии. Уменьшение количества получателей субсидии, сокращение носителей льгот </t>
  </si>
  <si>
    <t>Количество выплат обусловлено фактическим количеством захороненных граждан, относящихся к категории граждан в соответствии с переданными государственными полномочиями</t>
  </si>
  <si>
    <t>Фактическое количество захороненных граждан, относящихся к категории в соотвествии с переданными государственными полномочиями- 34 чел., что составило 26,15% от плана</t>
  </si>
  <si>
    <t xml:space="preserve">В 2025 году с заявлениями на  возмещением затрат, связанных с оказанием мер социальной поддержки жителям и защитникам блокадного Ленинграда по оплате жилья и коммунальных услуг в комитет обратилось 1 юридическое лицо, что соответствует показателям муниципальной программы. Сумма выплат составила 6,0 тыс. рублей. Процент исполнения программы составил 100%.
</t>
  </si>
  <si>
    <t>Количество юридических лиц, индивидуальных предпринимателей, которым 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 9 юридических лиц и индивидуальных предпринимателей до конца 2028 года</t>
  </si>
  <si>
    <t xml:space="preserve">Предоставлена субсидия на возмещение затрат, связанных с оказанием мер социальной поддержки отдельным категориям граждан по оплате жилья и коммунальных услуг, 1 ЮЛ. </t>
  </si>
  <si>
    <t>Обеспечение предоставления ежемесячной жилищно-коммунальной выплаты 56 получателям в 2025 году</t>
  </si>
  <si>
    <t>Предоставлена ежемесячная жилищно-коммунальная выплата 53 получателям. Исполнение показателя составило 95% от плана</t>
  </si>
  <si>
    <t xml:space="preserve">Заключены муниципальные контракты (далее - МК) по текущему ремонту квартир для нужд лиц, относящихся к категории детей-сирот и детей, оставшихся без попечения родителей в городе Мурманске (в целях социального обеспечения) по адресам в городе Мурманске:
 1) улица Пархоменко, дом 2, квартира 23. МК от 05.02.2025 № 28, на сумму 29,29 тыс. руб. Работы выполнены, оплачены.
 2) улица Алексея Хлобыстова, дом 31, квартира 57. МК от 10.03.2025 № 34. Работы выполнены, оплата в 3 квартале 2025 года.
 3) улица Аскольдовцев, дом 35, квартира 215. МК от 17.02.2025 № 35, на сумму 361,64 тыс. руб. Работы выполнены, оплачены.
 4) проспект Кирова, дом 23, корпус 2, квартира 18. МК от 17.02.20254 № 36, на сумму 358,93 тыс. руб. Работы выполнены, оплачены.
 5) улица Чумбарова-Лучинского, дом 32 корпус 1, квартира 82. МК от 17.02.2025 № 37, на сумму 222,03 тыс. руб. Работы выполнены, оплачены.
 6) улица Олега Кошевого, дом 20, квартира 42. МК от 17.02.2025 № 38, на сумму 558,0 тыс. руб.  Работы выполнены, оплачены.
 7) улица Бочкова, дом 8, квартира 45. МК от 17.02.2025 № 39, на сумму 469,30 тыс. руб. Работы выполнены, оплачены.                                                                                                       
 8) улица Баумана, дом 5, помещение 331. МК от 18.02.2025 № 40, на сумму 330,06 тыс. руб. Работы выполнены, оплачены.
 9) улица Самойловой, дом 1, квартира 39. МК от21.02.2025 № 44, на сумму 782,54 тыс. руб. Работы выполнены, оплачены.
 10) Североморское шоссе, дом 14, квартира 51. МК от 21.02.2025 № 48, на сумму 709,60 тыс. руб. Работы выполнены, оплачены.
 11) улица Аскольдовцев, дом 30, корпус 1, квартира 107. МК от 21.02.2025 № 49, на сумму 741,21 тыс. руб. Работы выполнены, оплачены.
 12) улица Воровского, дом 15, квартира 17. МК от 24.02.2025 № 53, на сумму 693,53 тыс. руб. Работы выполнены, оплачены.
 13) улица Пономарева, дом 5, квартира 36. МК от 24.02.2025 № 54, на сумму 488,85 тыс. руб. Работы выполнены, оплачены.  
 14) улица Нахимова, дом 29, квартира 7. МК от 24.02.2025 № 55, на сумму 1 030,34 тыс. руб. Работы выполнены, оплачены. 
 15) улица Капитана Маклакова, дом 5, квартира 9. МК 19.03.2025 № 94, на сумму 501,58 тыс. руб. Срок исполнения контракта - 3 квартал 2025 года.
 16) проспект Героев-североморцев, дом 78, корпус 2, квартира 61. МК от 30.06.2025 № 157. Срок исполнения контракта - 3 квартал 2025 года.
 17) улица Магомета Гаджиева, дом 14, квартира 97. Аукцион в электронной форме состоялся, планируется заключение муниципального контракта на выполнение работ с подрядной организацией.
 18) улица Свердлова, дом 12 корпус 2, квартира 63. МК от 21.02.2025 № 45. Контракт расторгнут.   
 19) улица Челюскинцев, дом 34, квартира 3. МК от 24.02.2025 № 57. Контракт расторгнут.                                                                                      
 В настоящее время заключено 18 МК с подрядными организациями:
 - по 13 МК работы выполнены и оплачены в полном объеме;
 - по 1 МК работы выполнены, оплата в 3 квартале 2025 года;
 - по 2 МК срок исполнения - 3 квартал 2025 года;
 - 2 МК расторгнуто;
 - по 1 адресу планируется заключение МК с подрядной организацией.
</t>
  </si>
  <si>
    <t xml:space="preserve">Опубликовано 33 извещения о проведении закупок способом электронного аукциона. По результатам проведенных электронных аукционов заключен один муниципальный контракт на приобретение однокомнатной квартиры.
Для предоставления детям-сиротам готовы 47 жилых помещений, приобретенных в 2024 году, из них:
24 расположены в новом многоквартирном доме 9 по улице Успенского и 23 приобретены на вторичном рынке недвижимости.
На отчетную дату жилыми помещениями обеспечены 44 гражданина: 
33 жилых помещения приобретено за счет выплаты по свидетельству о праве на получение социальной выплаты на приобретение жилого помещения в Мурманской области, 
3 жилых помещения приобретено в 2024 году,
5 жилых помещений предоставлены в новом доме по улице Успенского, 
1 жилое помещение предоставлено после ремонта,
2 жилых помещения приобретены за счет сертификата на выплату лицам, указанным в пункте 1 статьи 8.1 Федерального закона «О дополнительных гарантиях по социальной поддержке детей-сирот и детей, оставшихся без попечения родителей», на приобретение благоустроенного жилого помещения в собственность или для полного погашения кредита (займа) по договору, обязательства заемщика по которому обеспечены ипотекой.
</t>
  </si>
  <si>
    <t xml:space="preserve">Исполнителем мероприятий ММКУ УКС заключены муниципальные контракты по ремонту 3 квартир ВВОв:
- от 18.02.2025 № 41 на выполнение работ по текущему ремонту объекта: «Квартира ветерана Великой Отечественной войны, расположенная по адресу: улица Свердлова, дом 74, квартира 31 в городе Мурманске» (в целях социального обеспечения) с подрядной организацией ООО «С.Р.Т.Строй», со сроком окончания работ – 29.04.2025, работы выполнены и оплачены на сумму 196,6 тыс. руб.;
- от 21.02.2025 № 46 на выполнение работ по текущему ремонту объекта: «Квартира ветерана Великой Отечественной войны, расположенная по адресу: проспект Кольский, дом 70, квартира 121 в городе Мурманске» (в целях социального обеспечения) с подрядной организацией ИП Ничипоренко Е.Е., со сроком окончания работ – 14.06.2025, работы выполнены и оплачены на сумму 822,6 тыс. руб.;
- от 28.03.2025 № 106 на выполнение работ по текущему ремонту объекта: «Квартира ветерана Великой Отечественной войны, расположенная по адресу: улица Самойловой, дом 12, квартира 61 в городе Мурманске» (общестроительные работы 1 этап) с подрядной организацией ИП Алиев А.Т., со сроком окончания работ – 05.05.2025, работы выполнены и оплачены на сумму 600,0 тыс. руб.;
- от 28.03.2025 № 107 на выполнение работ по текущему ремонту объекта: «Квартира ветерана Великой Отечественной войны, расположенная по адресу: улица Самойловой, дом 12, квартира 61 в городе Мурманске» (электромонтажные и сантехнические работы) с подрядной организацией ИП Алиев А.Т., со сроком окончания работ – 05.05.2025, работы выполнены и оплачены на сумму 307,9 тыс. руб.;
- от 31.03.2025 № 108 на выполнение работ по текущему ремонту объекта: «Квартира ветерана Великой Отечественной войны, расположенная по адресу: улица Самойловой, дом 12, квартира 61 в городе Мурманске» (общестроительные работы 2 этап) с подрядной организацией ИП Алиев А.Т., со сроком окончания работ – 05.05.2025, работы выполнены и оплачены на сумму 598,4 тыс. руб. </t>
  </si>
  <si>
    <t>На отчетную дату реализовано:
1) в МБОУ г. Мурманска СОШ № 56  приобретено многоступенчатое шагающее устройство для детей с ОВЗ - 190.0 т.р.;
2) МБДОУ г. Мурманска № 7 приобретены тактильные плиткки, таблички, пиктограммы, система вызова для инвалидов - 50.0 т.р.</t>
  </si>
  <si>
    <t xml:space="preserve">Обеспечение единым социальным проездным билетом </t>
  </si>
  <si>
    <t>Дополнительное пенсионное обеспечение предоставляется своевременно 383 лицам. Дополнительное пенсионное обеспечение муниципальным служащим предоставляются ежемесячно в полном объеме</t>
  </si>
  <si>
    <t>Материальная помощь предоставлена 659 лицам (44% от плана)</t>
  </si>
  <si>
    <t>Выплата предоставлена 10 участникам Великой Отечественной войны и инвалидам Великой Отечественной войны.  Исполнение показателя составило 100%</t>
  </si>
  <si>
    <t xml:space="preserve"> Предоставление ежемесячной доплаты к государственной (трудовой) пенсии 39 получателям</t>
  </si>
  <si>
    <t xml:space="preserve"> Предоставление ежегодной единовременной материальной помощи на санаторное лечение и оздоровительные мероприятия </t>
  </si>
  <si>
    <t>Материальная помощь на санаторное лечение и оздоровительные мероприятия предоставлена 24 получателям. Исполнение показателя составило 100% от плана</t>
  </si>
  <si>
    <t>Выплата ежемесячно предоставляется  43 получателям. Исполнение показателя составило 110%</t>
  </si>
  <si>
    <t>15 получателей обеспечиваются единым социальным проездным билетом. Исполнение показателя составило 100% от плана</t>
  </si>
  <si>
    <t>Выплата предоставлена 65 опекунам совершеннолетних недееспособных граждан. Исполнение показателя составило 116% от плана</t>
  </si>
  <si>
    <t xml:space="preserve">Трудоустроено 22 гражданина. Исполнение показателя составило 44%. </t>
  </si>
  <si>
    <t>Дополнительные меры социальной поддержки предоставлены 565 гражданам (59 % от плана)</t>
  </si>
  <si>
    <t xml:space="preserve">Работы будут выполнены, выделенные средства освоены в полном объеме до конца 2025 года </t>
  </si>
  <si>
    <t>Увеличение до конца 2025 года количества учреждений культуры и дополнительного образования, в которых реализованы мероприятия по обеспечению условий доступности для инвалидов и других маломобильных групп населения, до 9 единиц (нарастающим итогом).</t>
  </si>
  <si>
    <t xml:space="preserve">Проведение работ по установке оборудования (МБУК «ЦГБ», МБУДО ДШИ  № 1) запланировано на летний период.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</si>
</sst>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0.0"/>
  </numFmts>
  <fonts count="12" x14ac:knownFonts="1">
    <font>
      <sz val="11"/>
      <color theme="1"/>
      <name val="Calibri"/>
      <family val="2"/>
      <scheme val="minor"/>
    </font>
    <font>
      <sz val="11"/>
      <color theme="1"/>
      <name val="Calibri"/>
      <family val="2"/>
      <charset val="204"/>
      <scheme val="minor"/>
    </font>
    <font>
      <b/>
      <sz val="11"/>
      <color theme="1"/>
      <name val="Calibri"/>
      <family val="2"/>
      <charset val="204"/>
      <scheme val="minor"/>
    </font>
    <font>
      <sz val="11"/>
      <color theme="1"/>
      <name val="Times New Roman"/>
      <family val="1"/>
      <charset val="204"/>
    </font>
    <font>
      <b/>
      <sz val="11"/>
      <color theme="1"/>
      <name val="Times New Roman"/>
      <family val="1"/>
      <charset val="204"/>
    </font>
    <font>
      <i/>
      <sz val="11"/>
      <color theme="1"/>
      <name val="Times New Roman"/>
      <family val="1"/>
      <charset val="204"/>
    </font>
    <font>
      <sz val="11"/>
      <name val="Times New Roman"/>
      <family val="1"/>
      <charset val="204"/>
    </font>
    <font>
      <i/>
      <sz val="11"/>
      <name val="Times New Roman"/>
      <family val="1"/>
      <charset val="204"/>
    </font>
    <font>
      <sz val="11"/>
      <color theme="1"/>
      <name val="Calibri"/>
      <family val="2"/>
      <scheme val="minor"/>
    </font>
    <font>
      <b/>
      <sz val="11"/>
      <name val="Times New Roman"/>
      <family val="1"/>
      <charset val="204"/>
    </font>
    <font>
      <b/>
      <i/>
      <sz val="11"/>
      <name val="Times New Roman"/>
      <family val="1"/>
      <charset val="204"/>
    </font>
    <font>
      <i/>
      <sz val="11"/>
      <color theme="1"/>
      <name val="Calibri"/>
      <family val="2"/>
      <scheme val="minor"/>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1" fillId="0" borderId="0"/>
    <xf numFmtId="43" fontId="1" fillId="0" borderId="0" applyFont="0" applyFill="0" applyBorder="0" applyAlignment="0" applyProtection="0"/>
    <xf numFmtId="43" fontId="8" fillId="0" borderId="0" applyFont="0" applyFill="0" applyBorder="0" applyAlignment="0" applyProtection="0"/>
  </cellStyleXfs>
  <cellXfs count="157">
    <xf numFmtId="0" fontId="0" fillId="0" borderId="0" xfId="0"/>
    <xf numFmtId="0" fontId="0" fillId="0" borderId="0" xfId="0" applyAlignment="1">
      <alignment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0" xfId="0" applyFont="1" applyAlignment="1">
      <alignment wrapText="1"/>
    </xf>
    <xf numFmtId="0" fontId="4" fillId="0" borderId="0" xfId="0" applyFont="1" applyAlignment="1">
      <alignment wrapText="1"/>
    </xf>
    <xf numFmtId="0" fontId="2" fillId="0" borderId="0" xfId="0" applyFont="1" applyAlignment="1">
      <alignment horizontal="left" vertical="top" wrapText="1"/>
    </xf>
    <xf numFmtId="0" fontId="3" fillId="0" borderId="1" xfId="0" applyFont="1" applyBorder="1" applyAlignment="1">
      <alignment horizontal="center" vertical="center" wrapText="1"/>
    </xf>
    <xf numFmtId="0" fontId="4" fillId="0" borderId="1" xfId="0" applyFont="1" applyBorder="1" applyAlignment="1">
      <alignment wrapText="1"/>
    </xf>
    <xf numFmtId="2" fontId="4" fillId="0" borderId="1" xfId="0" applyNumberFormat="1" applyFont="1" applyBorder="1" applyAlignment="1">
      <alignment horizontal="center" vertical="center" wrapText="1"/>
    </xf>
    <xf numFmtId="4" fontId="3" fillId="0" borderId="1" xfId="0" applyNumberFormat="1" applyFont="1" applyBorder="1" applyAlignment="1">
      <alignment wrapText="1"/>
    </xf>
    <xf numFmtId="2" fontId="3" fillId="0" borderId="1" xfId="0" applyNumberFormat="1" applyFont="1" applyBorder="1" applyAlignment="1">
      <alignment horizontal="center" vertical="center" wrapText="1"/>
    </xf>
    <xf numFmtId="0" fontId="3" fillId="2" borderId="1" xfId="0" applyFont="1" applyFill="1" applyBorder="1" applyAlignment="1">
      <alignment horizontal="left" vertical="center" wrapText="1"/>
    </xf>
    <xf numFmtId="0" fontId="4" fillId="0" borderId="1" xfId="0" applyFont="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wrapText="1"/>
    </xf>
    <xf numFmtId="0" fontId="4" fillId="2" borderId="1" xfId="0" applyFont="1" applyFill="1" applyBorder="1" applyAlignment="1">
      <alignment wrapText="1"/>
    </xf>
    <xf numFmtId="0" fontId="4"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 fontId="3" fillId="2" borderId="0" xfId="0" applyNumberFormat="1" applyFont="1" applyFill="1" applyAlignment="1">
      <alignment horizontal="center" wrapText="1"/>
    </xf>
    <xf numFmtId="4" fontId="3" fillId="2" borderId="0" xfId="0" applyNumberFormat="1" applyFont="1" applyFill="1" applyAlignment="1">
      <alignment wrapText="1"/>
    </xf>
    <xf numFmtId="0" fontId="3" fillId="2" borderId="1"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top" wrapText="1"/>
    </xf>
    <xf numFmtId="0" fontId="4" fillId="2" borderId="1" xfId="0" applyFont="1" applyFill="1" applyBorder="1" applyAlignment="1">
      <alignment horizontal="left" vertical="top" wrapText="1"/>
    </xf>
    <xf numFmtId="2" fontId="4"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0" fontId="3" fillId="2" borderId="0" xfId="0" applyFont="1" applyFill="1" applyAlignment="1">
      <alignment horizontal="left" vertical="top" wrapText="1"/>
    </xf>
    <xf numFmtId="0" fontId="3" fillId="2" borderId="0" xfId="0" applyFont="1" applyFill="1" applyAlignment="1">
      <alignment horizontal="center" vertical="center" wrapText="1"/>
    </xf>
    <xf numFmtId="0" fontId="3" fillId="2" borderId="0" xfId="0" applyFont="1" applyFill="1" applyAlignment="1">
      <alignment vertical="top" wrapText="1"/>
    </xf>
    <xf numFmtId="0" fontId="3" fillId="2" borderId="1" xfId="0" applyFont="1" applyFill="1" applyBorder="1" applyAlignment="1">
      <alignment horizontal="center" vertical="center"/>
    </xf>
    <xf numFmtId="2" fontId="4" fillId="2" borderId="1" xfId="0" applyNumberFormat="1" applyFont="1" applyFill="1" applyBorder="1" applyAlignment="1">
      <alignment horizontal="left" vertical="center" wrapText="1"/>
    </xf>
    <xf numFmtId="0" fontId="4" fillId="2" borderId="0" xfId="0" applyFont="1" applyFill="1" applyAlignment="1">
      <alignment wrapText="1"/>
    </xf>
    <xf numFmtId="2" fontId="3" fillId="2" borderId="1" xfId="0" applyNumberFormat="1" applyFont="1" applyFill="1" applyBorder="1" applyAlignment="1">
      <alignment horizontal="left" vertical="center" wrapText="1"/>
    </xf>
    <xf numFmtId="164" fontId="3" fillId="2" borderId="1" xfId="0" applyNumberFormat="1" applyFont="1" applyFill="1" applyBorder="1" applyAlignment="1">
      <alignment horizontal="left" vertical="center" wrapText="1"/>
    </xf>
    <xf numFmtId="2" fontId="3" fillId="2" borderId="0" xfId="0" applyNumberFormat="1" applyFont="1" applyFill="1" applyAlignment="1">
      <alignment wrapText="1"/>
    </xf>
    <xf numFmtId="0" fontId="4" fillId="2" borderId="0" xfId="0" applyFont="1" applyFill="1" applyAlignment="1">
      <alignment horizontal="center" vertical="center" wrapText="1"/>
    </xf>
    <xf numFmtId="4" fontId="6" fillId="2" borderId="2" xfId="0" applyNumberFormat="1" applyFont="1" applyFill="1" applyBorder="1" applyAlignment="1">
      <alignment horizontal="center" vertical="top" wrapText="1"/>
    </xf>
    <xf numFmtId="4" fontId="6" fillId="2" borderId="1" xfId="0" applyNumberFormat="1" applyFont="1" applyFill="1" applyBorder="1" applyAlignment="1">
      <alignment horizontal="center" vertical="top" wrapText="1"/>
    </xf>
    <xf numFmtId="4" fontId="6" fillId="2" borderId="3" xfId="0" applyNumberFormat="1" applyFont="1" applyFill="1" applyBorder="1" applyAlignment="1">
      <alignment horizontal="center" vertical="top" wrapText="1"/>
    </xf>
    <xf numFmtId="4" fontId="6" fillId="2" borderId="1" xfId="3" applyNumberFormat="1" applyFont="1" applyFill="1" applyBorder="1" applyAlignment="1">
      <alignment horizontal="center" vertical="top" wrapText="1"/>
    </xf>
    <xf numFmtId="4" fontId="6" fillId="2" borderId="2" xfId="3" applyNumberFormat="1" applyFont="1" applyFill="1" applyBorder="1" applyAlignment="1">
      <alignment horizontal="center" vertical="top" wrapText="1"/>
    </xf>
    <xf numFmtId="4" fontId="6" fillId="2" borderId="1" xfId="0" applyNumberFormat="1" applyFont="1" applyFill="1" applyBorder="1" applyAlignment="1">
      <alignment horizontal="center" vertical="top"/>
    </xf>
    <xf numFmtId="0" fontId="3" fillId="2" borderId="5" xfId="0" applyFont="1" applyFill="1" applyBorder="1" applyAlignment="1">
      <alignment horizontal="center" wrapText="1"/>
    </xf>
    <xf numFmtId="4" fontId="3" fillId="2" borderId="6" xfId="0" applyNumberFormat="1" applyFont="1" applyFill="1" applyBorder="1" applyAlignment="1">
      <alignment horizontal="center" vertical="center" wrapText="1"/>
    </xf>
    <xf numFmtId="0" fontId="5" fillId="2" borderId="0" xfId="0" applyFont="1" applyFill="1" applyAlignment="1">
      <alignment wrapText="1"/>
    </xf>
    <xf numFmtId="165" fontId="6" fillId="2" borderId="1" xfId="0" applyNumberFormat="1" applyFont="1" applyFill="1" applyBorder="1" applyAlignment="1">
      <alignment horizontal="center" vertical="top"/>
    </xf>
    <xf numFmtId="164" fontId="6" fillId="2" borderId="1" xfId="0" applyNumberFormat="1" applyFont="1" applyFill="1" applyBorder="1" applyAlignment="1">
      <alignment horizontal="center" vertical="top" wrapText="1"/>
    </xf>
    <xf numFmtId="164" fontId="6" fillId="2" borderId="3" xfId="3" applyNumberFormat="1" applyFont="1" applyFill="1" applyBorder="1" applyAlignment="1">
      <alignment horizontal="center" vertical="top" wrapText="1"/>
    </xf>
    <xf numFmtId="164" fontId="6" fillId="2" borderId="1" xfId="3" applyNumberFormat="1" applyFont="1" applyFill="1" applyBorder="1" applyAlignment="1">
      <alignment horizontal="center" vertical="top" wrapText="1"/>
    </xf>
    <xf numFmtId="4" fontId="9" fillId="2" borderId="1" xfId="0" applyNumberFormat="1" applyFont="1" applyFill="1" applyBorder="1" applyAlignment="1">
      <alignment horizontal="center" vertical="top" wrapText="1"/>
    </xf>
    <xf numFmtId="4" fontId="4" fillId="2" borderId="10" xfId="0" applyNumberFormat="1" applyFont="1" applyFill="1" applyBorder="1" applyAlignment="1">
      <alignment horizontal="center" vertical="top" wrapText="1"/>
    </xf>
    <xf numFmtId="4" fontId="3" fillId="2" borderId="10" xfId="0" applyNumberFormat="1" applyFont="1" applyFill="1" applyBorder="1" applyAlignment="1">
      <alignment horizontal="center" vertical="top" wrapText="1"/>
    </xf>
    <xf numFmtId="4" fontId="7" fillId="2" borderId="1" xfId="0" applyNumberFormat="1" applyFont="1" applyFill="1" applyBorder="1" applyAlignment="1">
      <alignment horizontal="center" vertical="top" wrapText="1"/>
    </xf>
    <xf numFmtId="4" fontId="5" fillId="2" borderId="10" xfId="0" applyNumberFormat="1" applyFont="1" applyFill="1" applyBorder="1" applyAlignment="1">
      <alignment horizontal="center" vertical="top" wrapText="1"/>
    </xf>
    <xf numFmtId="4" fontId="10" fillId="2" borderId="1" xfId="0" applyNumberFormat="1" applyFont="1" applyFill="1" applyBorder="1" applyAlignment="1">
      <alignment horizontal="center" vertical="top" wrapText="1"/>
    </xf>
    <xf numFmtId="165" fontId="3" fillId="2" borderId="10" xfId="0" applyNumberFormat="1" applyFont="1" applyFill="1" applyBorder="1" applyAlignment="1">
      <alignment horizontal="center" vertical="top" wrapText="1"/>
    </xf>
    <xf numFmtId="165" fontId="5" fillId="2" borderId="10" xfId="0" applyNumberFormat="1" applyFont="1" applyFill="1" applyBorder="1" applyAlignment="1">
      <alignment horizontal="center" vertical="top" wrapText="1"/>
    </xf>
    <xf numFmtId="0" fontId="6" fillId="2" borderId="1" xfId="0" applyFont="1" applyFill="1" applyBorder="1" applyAlignment="1">
      <alignment horizontal="center" vertical="top"/>
    </xf>
    <xf numFmtId="0" fontId="6" fillId="2" borderId="1" xfId="0" applyFont="1" applyFill="1" applyBorder="1" applyAlignment="1">
      <alignment horizontal="left" vertical="top" wrapText="1"/>
    </xf>
    <xf numFmtId="0" fontId="5" fillId="2" borderId="4" xfId="0" applyFont="1" applyFill="1" applyBorder="1" applyAlignment="1">
      <alignment horizontal="center" vertical="top" wrapText="1"/>
    </xf>
    <xf numFmtId="0" fontId="3" fillId="2" borderId="1" xfId="0" applyFont="1" applyFill="1" applyBorder="1" applyAlignment="1">
      <alignment horizontal="center" vertical="top" wrapText="1"/>
    </xf>
    <xf numFmtId="0" fontId="5"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4" fontId="6" fillId="2" borderId="1" xfId="3" applyNumberFormat="1" applyFont="1" applyFill="1" applyBorder="1" applyAlignment="1">
      <alignment horizontal="center" vertical="center" wrapText="1"/>
    </xf>
    <xf numFmtId="4" fontId="6" fillId="2" borderId="1" xfId="0" applyNumberFormat="1" applyFont="1" applyFill="1" applyBorder="1" applyAlignment="1">
      <alignment horizontal="center" vertical="center" wrapText="1"/>
    </xf>
    <xf numFmtId="4" fontId="9" fillId="2" borderId="1" xfId="3" applyNumberFormat="1" applyFont="1" applyFill="1" applyBorder="1" applyAlignment="1">
      <alignment horizontal="center" vertical="top" wrapText="1"/>
    </xf>
    <xf numFmtId="4" fontId="9" fillId="2" borderId="2" xfId="0" applyNumberFormat="1" applyFont="1" applyFill="1" applyBorder="1" applyAlignment="1">
      <alignment horizontal="center" vertical="top" wrapText="1"/>
    </xf>
    <xf numFmtId="164" fontId="6" fillId="2" borderId="1" xfId="0" applyNumberFormat="1" applyFont="1" applyFill="1" applyBorder="1" applyAlignment="1">
      <alignment horizontal="center" vertical="center" wrapText="1"/>
    </xf>
    <xf numFmtId="4" fontId="6" fillId="2" borderId="2" xfId="0" applyNumberFormat="1" applyFont="1" applyFill="1" applyBorder="1" applyAlignment="1">
      <alignment horizontal="center" vertical="center" wrapText="1"/>
    </xf>
    <xf numFmtId="4" fontId="6" fillId="2" borderId="1" xfId="3" applyNumberFormat="1" applyFont="1" applyFill="1" applyBorder="1" applyAlignment="1">
      <alignment horizontal="center"/>
    </xf>
    <xf numFmtId="4" fontId="6" fillId="2" borderId="1" xfId="0" applyNumberFormat="1" applyFont="1" applyFill="1" applyBorder="1" applyAlignment="1">
      <alignment horizontal="center"/>
    </xf>
    <xf numFmtId="4" fontId="6" fillId="2" borderId="3" xfId="0" applyNumberFormat="1" applyFont="1" applyFill="1" applyBorder="1" applyAlignment="1">
      <alignment horizontal="center" vertical="center" wrapText="1"/>
    </xf>
    <xf numFmtId="4" fontId="6" fillId="2" borderId="1" xfId="0" applyNumberFormat="1" applyFont="1" applyFill="1" applyBorder="1" applyAlignment="1" applyProtection="1">
      <alignment horizontal="center" vertical="center"/>
      <protection locked="0"/>
    </xf>
    <xf numFmtId="4" fontId="6" fillId="2" borderId="3" xfId="0" applyNumberFormat="1" applyFont="1" applyFill="1" applyBorder="1" applyAlignment="1">
      <alignment horizontal="center"/>
    </xf>
    <xf numFmtId="4" fontId="6" fillId="2" borderId="1" xfId="3" applyNumberFormat="1" applyFont="1" applyFill="1" applyBorder="1" applyAlignment="1">
      <alignment horizontal="center" vertical="center"/>
    </xf>
    <xf numFmtId="4" fontId="6" fillId="2" borderId="1" xfId="0" applyNumberFormat="1" applyFont="1" applyFill="1" applyBorder="1" applyAlignment="1">
      <alignment horizontal="center" vertical="center"/>
    </xf>
    <xf numFmtId="4" fontId="9" fillId="2" borderId="1" xfId="3" applyNumberFormat="1"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9" fillId="2" borderId="3" xfId="3" applyNumberFormat="1" applyFont="1" applyFill="1" applyBorder="1" applyAlignment="1">
      <alignment horizontal="center" vertical="center" wrapText="1"/>
    </xf>
    <xf numFmtId="4" fontId="9" fillId="2" borderId="1" xfId="0" applyNumberFormat="1" applyFont="1" applyFill="1" applyBorder="1" applyAlignment="1">
      <alignment horizontal="center"/>
    </xf>
    <xf numFmtId="4" fontId="9" fillId="2" borderId="1" xfId="3" applyNumberFormat="1" applyFont="1" applyFill="1" applyBorder="1" applyAlignment="1">
      <alignment horizontal="center" vertical="center"/>
    </xf>
    <xf numFmtId="4" fontId="9" fillId="2" borderId="1" xfId="0" applyNumberFormat="1"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top" wrapText="1"/>
    </xf>
    <xf numFmtId="0" fontId="5" fillId="2" borderId="4" xfId="0" applyFont="1" applyFill="1" applyBorder="1" applyAlignment="1">
      <alignment horizontal="center" vertical="top" wrapText="1"/>
    </xf>
    <xf numFmtId="0" fontId="5" fillId="2" borderId="3" xfId="0" applyFont="1" applyFill="1" applyBorder="1" applyAlignment="1">
      <alignment horizontal="center" vertical="top" wrapText="1"/>
    </xf>
    <xf numFmtId="0" fontId="0" fillId="2" borderId="4" xfId="0" applyFill="1" applyBorder="1" applyAlignment="1">
      <alignment horizontal="center" vertical="top" wrapText="1"/>
    </xf>
    <xf numFmtId="0" fontId="0" fillId="2" borderId="3" xfId="0" applyFill="1" applyBorder="1" applyAlignment="1">
      <alignment horizontal="center" vertical="top" wrapText="1"/>
    </xf>
    <xf numFmtId="0" fontId="5" fillId="2" borderId="2" xfId="0" applyFont="1" applyFill="1" applyBorder="1" applyAlignment="1">
      <alignment horizontal="left" vertical="top" wrapText="1"/>
    </xf>
    <xf numFmtId="0" fontId="5" fillId="2" borderId="4" xfId="0" applyFont="1" applyFill="1" applyBorder="1" applyAlignment="1">
      <alignment horizontal="left" vertical="top" wrapText="1"/>
    </xf>
    <xf numFmtId="0" fontId="0" fillId="2" borderId="4" xfId="0" applyFill="1" applyBorder="1" applyAlignment="1">
      <alignment horizontal="left" vertical="top" wrapText="1"/>
    </xf>
    <xf numFmtId="0" fontId="0" fillId="2" borderId="3" xfId="0" applyFill="1" applyBorder="1" applyAlignment="1">
      <alignment horizontal="left" vertical="top" wrapText="1"/>
    </xf>
    <xf numFmtId="0" fontId="5" fillId="2" borderId="1" xfId="0" applyFont="1" applyFill="1" applyBorder="1" applyAlignment="1">
      <alignment horizontal="center" vertical="center" wrapText="1"/>
    </xf>
    <xf numFmtId="0" fontId="7" fillId="2" borderId="2"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3" xfId="0"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top" wrapText="1"/>
    </xf>
    <xf numFmtId="165" fontId="7" fillId="2" borderId="2" xfId="0" applyNumberFormat="1" applyFont="1" applyFill="1" applyBorder="1" applyAlignment="1">
      <alignment horizontal="center" vertical="center" wrapText="1"/>
    </xf>
    <xf numFmtId="165" fontId="7" fillId="2" borderId="4" xfId="0" applyNumberFormat="1" applyFont="1" applyFill="1" applyBorder="1" applyAlignment="1">
      <alignment horizontal="center" vertical="center" wrapText="1"/>
    </xf>
    <xf numFmtId="165" fontId="7" fillId="2" borderId="3" xfId="0" applyNumberFormat="1" applyFont="1" applyFill="1" applyBorder="1" applyAlignment="1">
      <alignment horizontal="center" vertical="center"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5" fillId="2" borderId="3" xfId="0" applyFont="1" applyFill="1" applyBorder="1" applyAlignment="1">
      <alignment horizontal="left" vertical="top"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top" wrapText="1"/>
    </xf>
    <xf numFmtId="0" fontId="5" fillId="2" borderId="7" xfId="0" applyFont="1" applyFill="1" applyBorder="1" applyAlignment="1">
      <alignment horizontal="center" vertical="top" wrapText="1"/>
    </xf>
    <xf numFmtId="0" fontId="0" fillId="2" borderId="11" xfId="0" applyFill="1" applyBorder="1" applyAlignment="1">
      <alignment horizontal="center" vertical="top" wrapText="1"/>
    </xf>
    <xf numFmtId="0" fontId="4" fillId="2" borderId="2" xfId="0" applyFont="1" applyFill="1" applyBorder="1" applyAlignment="1">
      <alignment horizontal="center" vertical="top" wrapText="1"/>
    </xf>
    <xf numFmtId="0" fontId="4" fillId="2" borderId="4"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5" fillId="2" borderId="1" xfId="0" applyFont="1" applyFill="1" applyBorder="1" applyAlignment="1">
      <alignment horizontal="left" vertical="top" wrapText="1"/>
    </xf>
    <xf numFmtId="0" fontId="6" fillId="2" borderId="1" xfId="0" applyFont="1" applyFill="1" applyBorder="1" applyAlignment="1">
      <alignment horizontal="center" vertical="top" wrapText="1"/>
    </xf>
    <xf numFmtId="4" fontId="3" fillId="2" borderId="2" xfId="0" applyNumberFormat="1" applyFont="1" applyFill="1" applyBorder="1" applyAlignment="1">
      <alignment horizontal="center" vertical="top" wrapText="1"/>
    </xf>
    <xf numFmtId="165" fontId="7" fillId="2" borderId="2" xfId="0" applyNumberFormat="1" applyFont="1" applyFill="1" applyBorder="1" applyAlignment="1">
      <alignment horizontal="left" vertical="top" wrapText="1"/>
    </xf>
    <xf numFmtId="165" fontId="7" fillId="2" borderId="4" xfId="0" applyNumberFormat="1" applyFont="1" applyFill="1" applyBorder="1" applyAlignment="1">
      <alignment horizontal="left" vertical="top" wrapText="1"/>
    </xf>
    <xf numFmtId="165" fontId="7" fillId="2" borderId="3" xfId="0" applyNumberFormat="1" applyFont="1" applyFill="1" applyBorder="1" applyAlignment="1">
      <alignment horizontal="left" vertical="top" wrapText="1"/>
    </xf>
    <xf numFmtId="0" fontId="4" fillId="2" borderId="0" xfId="0" applyFont="1" applyFill="1" applyAlignment="1">
      <alignment horizontal="center" wrapText="1"/>
    </xf>
    <xf numFmtId="0" fontId="4" fillId="2" borderId="0" xfId="0" applyFont="1" applyFill="1" applyAlignment="1">
      <alignment horizontal="center" vertical="center" wrapText="1"/>
    </xf>
    <xf numFmtId="0" fontId="7" fillId="2" borderId="1" xfId="0" applyFont="1" applyFill="1" applyBorder="1" applyAlignment="1">
      <alignment horizontal="center" vertical="top" wrapText="1"/>
    </xf>
    <xf numFmtId="165" fontId="7" fillId="2" borderId="2" xfId="0" applyNumberFormat="1" applyFont="1" applyFill="1" applyBorder="1" applyAlignment="1">
      <alignment horizontal="center" vertical="top" wrapText="1"/>
    </xf>
    <xf numFmtId="0" fontId="7" fillId="2" borderId="4" xfId="0" applyFont="1" applyFill="1" applyBorder="1" applyAlignment="1">
      <alignment horizontal="center" vertical="top" wrapText="1"/>
    </xf>
    <xf numFmtId="0" fontId="11" fillId="2" borderId="4" xfId="0" applyFont="1" applyFill="1" applyBorder="1" applyAlignment="1">
      <alignment horizontal="center" vertical="top" wrapText="1"/>
    </xf>
    <xf numFmtId="0" fontId="11" fillId="2" borderId="3" xfId="0" applyFont="1" applyFill="1" applyBorder="1" applyAlignment="1">
      <alignment horizontal="center" vertical="top" wrapText="1"/>
    </xf>
    <xf numFmtId="0" fontId="11" fillId="2" borderId="4" xfId="0" applyFont="1" applyFill="1" applyBorder="1" applyAlignment="1">
      <alignment horizontal="left" vertical="top" wrapText="1"/>
    </xf>
    <xf numFmtId="0" fontId="11" fillId="2" borderId="3" xfId="0" applyFont="1" applyFill="1" applyBorder="1" applyAlignment="1">
      <alignment horizontal="left" vertical="top" wrapText="1"/>
    </xf>
    <xf numFmtId="14" fontId="5"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4" fontId="3" fillId="2" borderId="8" xfId="0" applyNumberFormat="1" applyFont="1" applyFill="1" applyBorder="1" applyAlignment="1">
      <alignment horizontal="center" vertical="center" wrapText="1"/>
    </xf>
    <xf numFmtId="4" fontId="3" fillId="2" borderId="9" xfId="0" applyNumberFormat="1" applyFont="1" applyFill="1" applyBorder="1" applyAlignment="1">
      <alignment horizontal="center" vertical="center" wrapText="1"/>
    </xf>
    <xf numFmtId="43" fontId="3" fillId="2" borderId="2" xfId="0" applyNumberFormat="1" applyFont="1" applyFill="1" applyBorder="1" applyAlignment="1">
      <alignment horizontal="center" vertical="top" wrapText="1"/>
    </xf>
    <xf numFmtId="0" fontId="4" fillId="2" borderId="2" xfId="0" applyFont="1" applyFill="1" applyBorder="1" applyAlignment="1">
      <alignment horizontal="left" vertical="top" wrapText="1"/>
    </xf>
    <xf numFmtId="0" fontId="4" fillId="2" borderId="4" xfId="0" applyFont="1" applyFill="1" applyBorder="1" applyAlignment="1">
      <alignment horizontal="left" vertical="top" wrapText="1"/>
    </xf>
    <xf numFmtId="0" fontId="4" fillId="2" borderId="3" xfId="0" applyFont="1" applyFill="1" applyBorder="1" applyAlignment="1">
      <alignment horizontal="left" vertical="top" wrapText="1"/>
    </xf>
    <xf numFmtId="43" fontId="4" fillId="2" borderId="2" xfId="3" applyFont="1" applyFill="1" applyBorder="1" applyAlignment="1">
      <alignment horizontal="left" vertical="top" wrapText="1"/>
    </xf>
    <xf numFmtId="43" fontId="4" fillId="2" borderId="4" xfId="3" applyFont="1" applyFill="1" applyBorder="1" applyAlignment="1">
      <alignment horizontal="left" vertical="top" wrapText="1"/>
    </xf>
    <xf numFmtId="43" fontId="4" fillId="2" borderId="3" xfId="3" applyFont="1" applyFill="1" applyBorder="1" applyAlignment="1">
      <alignment horizontal="left" vertical="top" wrapText="1"/>
    </xf>
    <xf numFmtId="0" fontId="6" fillId="2" borderId="1" xfId="0" applyFont="1" applyFill="1" applyBorder="1" applyAlignment="1">
      <alignment horizontal="center" vertical="top"/>
    </xf>
    <xf numFmtId="0" fontId="6" fillId="2" borderId="1" xfId="0" applyFont="1" applyFill="1" applyBorder="1" applyAlignment="1">
      <alignment horizontal="left" vertical="top" wrapText="1"/>
    </xf>
    <xf numFmtId="2" fontId="3" fillId="2" borderId="1" xfId="0" applyNumberFormat="1" applyFont="1" applyFill="1" applyBorder="1" applyAlignment="1">
      <alignment horizontal="center" vertical="center" wrapText="1"/>
    </xf>
    <xf numFmtId="0" fontId="4" fillId="0" borderId="1" xfId="0" applyFont="1" applyBorder="1" applyAlignment="1">
      <alignment horizontal="left" vertical="top" wrapText="1"/>
    </xf>
    <xf numFmtId="0" fontId="4" fillId="0" borderId="0" xfId="0" applyFont="1" applyAlignment="1">
      <alignment horizont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top" wrapText="1"/>
    </xf>
    <xf numFmtId="0" fontId="3" fillId="0" borderId="4" xfId="0" applyFont="1" applyBorder="1" applyAlignment="1">
      <alignment horizontal="center" vertical="top" wrapText="1"/>
    </xf>
    <xf numFmtId="0" fontId="3" fillId="0" borderId="3" xfId="0" applyFont="1" applyBorder="1" applyAlignment="1">
      <alignment horizontal="center" vertical="top" wrapText="1"/>
    </xf>
  </cellXfs>
  <cellStyles count="4">
    <cellStyle name="Обычный" xfId="0" builtinId="0"/>
    <cellStyle name="Обычный 2" xfId="1"/>
    <cellStyle name="Финансовый" xfId="3" builtinId="3"/>
    <cellStyle name="Финансовый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K311"/>
  <sheetViews>
    <sheetView tabSelected="1" topLeftCell="A226" zoomScale="70" zoomScaleNormal="70" workbookViewId="0">
      <selection activeCell="E228" sqref="E228"/>
    </sheetView>
  </sheetViews>
  <sheetFormatPr defaultColWidth="8.88671875" defaultRowHeight="13.8" x14ac:dyDescent="0.25"/>
  <cols>
    <col min="1" max="1" width="6.44140625" style="17" customWidth="1"/>
    <col min="2" max="2" width="42.33203125" style="17" customWidth="1"/>
    <col min="3" max="3" width="9" style="17" customWidth="1"/>
    <col min="4" max="4" width="14.5546875" style="24" customWidth="1"/>
    <col min="5" max="5" width="15" style="24" customWidth="1"/>
    <col min="6" max="6" width="11.5546875" style="24" customWidth="1"/>
    <col min="7" max="7" width="36.5546875" style="32" customWidth="1"/>
    <col min="8" max="8" width="128.5546875" style="32" customWidth="1"/>
    <col min="9" max="9" width="19.33203125" style="33" customWidth="1"/>
    <col min="10" max="10" width="16.33203125" style="34" customWidth="1"/>
    <col min="11" max="11" width="42.33203125" style="32" customWidth="1"/>
    <col min="12" max="12" width="13.6640625" style="17" bestFit="1" customWidth="1"/>
    <col min="13" max="16384" width="8.88671875" style="17"/>
  </cols>
  <sheetData>
    <row r="1" spans="1:11" ht="14.4" customHeight="1" x14ac:dyDescent="0.25">
      <c r="A1" s="127" t="s">
        <v>34</v>
      </c>
      <c r="B1" s="127"/>
      <c r="C1" s="127"/>
      <c r="D1" s="127"/>
      <c r="E1" s="127"/>
      <c r="F1" s="127"/>
      <c r="G1" s="127"/>
      <c r="H1" s="127"/>
      <c r="I1" s="127"/>
      <c r="J1" s="127"/>
      <c r="K1" s="127"/>
    </row>
    <row r="2" spans="1:11" x14ac:dyDescent="0.25">
      <c r="A2" s="128" t="s">
        <v>85</v>
      </c>
      <c r="B2" s="128"/>
      <c r="C2" s="128"/>
      <c r="D2" s="128"/>
      <c r="E2" s="128"/>
      <c r="F2" s="128"/>
      <c r="G2" s="128"/>
      <c r="H2" s="128"/>
      <c r="I2" s="128"/>
      <c r="J2" s="128"/>
      <c r="K2" s="128"/>
    </row>
    <row r="3" spans="1:11" x14ac:dyDescent="0.25">
      <c r="A3" s="127" t="s">
        <v>247</v>
      </c>
      <c r="B3" s="127"/>
      <c r="C3" s="127"/>
      <c r="D3" s="127"/>
      <c r="E3" s="127"/>
      <c r="F3" s="127"/>
      <c r="G3" s="127"/>
      <c r="H3" s="127"/>
      <c r="I3" s="127"/>
      <c r="J3" s="127"/>
      <c r="K3" s="127"/>
    </row>
    <row r="4" spans="1:11" x14ac:dyDescent="0.25">
      <c r="A4" s="16"/>
      <c r="B4" s="16"/>
      <c r="C4" s="48"/>
      <c r="E4" s="23"/>
      <c r="F4" s="23"/>
      <c r="G4" s="26"/>
      <c r="H4" s="26"/>
      <c r="I4" s="27"/>
      <c r="J4" s="28"/>
      <c r="K4" s="26"/>
    </row>
    <row r="5" spans="1:11" ht="57" customHeight="1" x14ac:dyDescent="0.25">
      <c r="A5" s="137" t="s">
        <v>0</v>
      </c>
      <c r="B5" s="137" t="s">
        <v>1</v>
      </c>
      <c r="C5" s="104" t="s">
        <v>2</v>
      </c>
      <c r="D5" s="104"/>
      <c r="E5" s="104"/>
      <c r="F5" s="139" t="s">
        <v>4</v>
      </c>
      <c r="G5" s="104" t="s">
        <v>5</v>
      </c>
      <c r="H5" s="104"/>
      <c r="I5" s="104"/>
      <c r="J5" s="137" t="s">
        <v>9</v>
      </c>
      <c r="K5" s="104" t="s">
        <v>10</v>
      </c>
    </row>
    <row r="6" spans="1:11" ht="41.4" x14ac:dyDescent="0.25">
      <c r="A6" s="138"/>
      <c r="B6" s="138"/>
      <c r="C6" s="20" t="s">
        <v>11</v>
      </c>
      <c r="D6" s="49" t="s">
        <v>3</v>
      </c>
      <c r="E6" s="22" t="s">
        <v>12</v>
      </c>
      <c r="F6" s="140"/>
      <c r="G6" s="20" t="s">
        <v>6</v>
      </c>
      <c r="H6" s="20" t="s">
        <v>7</v>
      </c>
      <c r="I6" s="20" t="s">
        <v>8</v>
      </c>
      <c r="J6" s="138"/>
      <c r="K6" s="104"/>
    </row>
    <row r="7" spans="1:11" s="37" customFormat="1" x14ac:dyDescent="0.25">
      <c r="A7" s="113"/>
      <c r="B7" s="113" t="s">
        <v>86</v>
      </c>
      <c r="C7" s="68" t="s">
        <v>13</v>
      </c>
      <c r="D7" s="82">
        <f>SUM(D8:D9)</f>
        <v>964086.8</v>
      </c>
      <c r="E7" s="55">
        <f>E8+E9</f>
        <v>345359.31399999995</v>
      </c>
      <c r="F7" s="56">
        <f>E7/D7*100</f>
        <v>35.822429474192568</v>
      </c>
      <c r="G7" s="145"/>
      <c r="H7" s="29" t="s">
        <v>18</v>
      </c>
      <c r="I7" s="21">
        <f>I57+I122+I237+I277</f>
        <v>28</v>
      </c>
      <c r="J7" s="117" t="s">
        <v>23</v>
      </c>
      <c r="K7" s="142" t="s">
        <v>23</v>
      </c>
    </row>
    <row r="8" spans="1:11" s="37" customFormat="1" x14ac:dyDescent="0.25">
      <c r="A8" s="113"/>
      <c r="B8" s="113"/>
      <c r="C8" s="68" t="s">
        <v>14</v>
      </c>
      <c r="D8" s="82">
        <f>D13+D18+D23+D28+D33+D38+D43+D48</f>
        <v>105735.5</v>
      </c>
      <c r="E8" s="71">
        <f>E13+E18+E23+E28+E33+E38+E43+E48</f>
        <v>53952.57499999999</v>
      </c>
      <c r="F8" s="56">
        <f>E8/D8*100</f>
        <v>51.025979921596807</v>
      </c>
      <c r="G8" s="146"/>
      <c r="H8" s="29" t="s">
        <v>19</v>
      </c>
      <c r="I8" s="21">
        <f>I58+I123+I238+I278</f>
        <v>2</v>
      </c>
      <c r="J8" s="118"/>
      <c r="K8" s="143"/>
    </row>
    <row r="9" spans="1:11" s="37" customFormat="1" x14ac:dyDescent="0.25">
      <c r="A9" s="113"/>
      <c r="B9" s="113"/>
      <c r="C9" s="68" t="s">
        <v>16</v>
      </c>
      <c r="D9" s="82">
        <f t="shared" ref="D9" si="0">D14+D19+D24+D29+D34+D39+D44</f>
        <v>858351.3</v>
      </c>
      <c r="E9" s="71">
        <f>E14+E19+E24+E29+E34+E39+E44+E49</f>
        <v>291406.73899999994</v>
      </c>
      <c r="F9" s="56">
        <f>E9/D9*100</f>
        <v>33.949589055203845</v>
      </c>
      <c r="G9" s="146"/>
      <c r="H9" s="29" t="s">
        <v>20</v>
      </c>
      <c r="I9" s="21">
        <f>I59+I124+I239+I279</f>
        <v>24</v>
      </c>
      <c r="J9" s="118"/>
      <c r="K9" s="143"/>
    </row>
    <row r="10" spans="1:11" s="37" customFormat="1" x14ac:dyDescent="0.25">
      <c r="A10" s="113"/>
      <c r="B10" s="113"/>
      <c r="C10" s="68" t="s">
        <v>15</v>
      </c>
      <c r="D10" s="83">
        <v>0</v>
      </c>
      <c r="E10" s="55">
        <f>E60+E125+E240+E280</f>
        <v>0</v>
      </c>
      <c r="F10" s="56"/>
      <c r="G10" s="146"/>
      <c r="H10" s="29" t="s">
        <v>21</v>
      </c>
      <c r="I10" s="21">
        <f>I60+I125+I240+I280</f>
        <v>2</v>
      </c>
      <c r="J10" s="118"/>
      <c r="K10" s="143"/>
    </row>
    <row r="11" spans="1:11" s="37" customFormat="1" ht="31.5" customHeight="1" x14ac:dyDescent="0.25">
      <c r="A11" s="113"/>
      <c r="B11" s="113"/>
      <c r="C11" s="68" t="s">
        <v>17</v>
      </c>
      <c r="D11" s="83">
        <v>0</v>
      </c>
      <c r="E11" s="55">
        <f>E61+E126+E241+E281</f>
        <v>0</v>
      </c>
      <c r="F11" s="56"/>
      <c r="G11" s="147"/>
      <c r="H11" s="29" t="s">
        <v>22</v>
      </c>
      <c r="I11" s="30">
        <f>I8/I7*100</f>
        <v>7.1428571428571423</v>
      </c>
      <c r="J11" s="119"/>
      <c r="K11" s="144"/>
    </row>
    <row r="12" spans="1:11" s="37" customFormat="1" x14ac:dyDescent="0.25">
      <c r="A12" s="104"/>
      <c r="B12" s="104" t="s">
        <v>87</v>
      </c>
      <c r="C12" s="66" t="s">
        <v>13</v>
      </c>
      <c r="D12" s="70">
        <f>D13+D14</f>
        <v>327427.30000000005</v>
      </c>
      <c r="E12" s="43">
        <f>E13+E14+E15+E16</f>
        <v>143540.114</v>
      </c>
      <c r="F12" s="57">
        <f>E12/D12*100</f>
        <v>43.838773981277669</v>
      </c>
      <c r="G12" s="141"/>
      <c r="H12" s="25" t="s">
        <v>18</v>
      </c>
      <c r="I12" s="20">
        <f>COUNTA(I72:I86)+COUNTA(I92:I101)+COUNTA(I247)</f>
        <v>6</v>
      </c>
      <c r="J12" s="117" t="s">
        <v>23</v>
      </c>
      <c r="K12" s="142" t="s">
        <v>23</v>
      </c>
    </row>
    <row r="13" spans="1:11" s="37" customFormat="1" x14ac:dyDescent="0.25">
      <c r="A13" s="104"/>
      <c r="B13" s="104"/>
      <c r="C13" s="66" t="s">
        <v>14</v>
      </c>
      <c r="D13" s="70">
        <f>D63+D68+D73+D78+D83+D93+D98+D248</f>
        <v>1000</v>
      </c>
      <c r="E13" s="43">
        <f>E248</f>
        <v>240</v>
      </c>
      <c r="F13" s="57">
        <f>E13/D13*100</f>
        <v>24</v>
      </c>
      <c r="G13" s="110"/>
      <c r="H13" s="25" t="s">
        <v>19</v>
      </c>
      <c r="I13" s="20">
        <f>COUNTIF(I72:I86,"да")+COUNTIF(I92:I101,"да")+COUNTIF(I247,"да")</f>
        <v>0</v>
      </c>
      <c r="J13" s="118"/>
      <c r="K13" s="143"/>
    </row>
    <row r="14" spans="1:11" s="37" customFormat="1" x14ac:dyDescent="0.25">
      <c r="A14" s="104"/>
      <c r="B14" s="104"/>
      <c r="C14" s="66" t="s">
        <v>16</v>
      </c>
      <c r="D14" s="70">
        <f>D64+D94+D99</f>
        <v>326427.30000000005</v>
      </c>
      <c r="E14" s="43">
        <f>E64+E94+E99</f>
        <v>143300.114</v>
      </c>
      <c r="F14" s="57">
        <f>E14/D14*100</f>
        <v>43.899549455575553</v>
      </c>
      <c r="G14" s="110"/>
      <c r="H14" s="25" t="s">
        <v>20</v>
      </c>
      <c r="I14" s="20">
        <f>COUNTIF(I72:I86,"частично")+COUNTIF(I92:I101,"частично")+COUNTIF(I247,"частично")</f>
        <v>6</v>
      </c>
      <c r="J14" s="118"/>
      <c r="K14" s="143"/>
    </row>
    <row r="15" spans="1:11" s="37" customFormat="1" x14ac:dyDescent="0.25">
      <c r="A15" s="104"/>
      <c r="B15" s="104"/>
      <c r="C15" s="66" t="s">
        <v>15</v>
      </c>
      <c r="D15" s="70">
        <v>0</v>
      </c>
      <c r="E15" s="43">
        <v>0</v>
      </c>
      <c r="F15" s="57"/>
      <c r="G15" s="110"/>
      <c r="H15" s="25" t="s">
        <v>21</v>
      </c>
      <c r="I15" s="20">
        <f>COUNTIF(I72:I86,"нет")+COUNTIF(I92:I101,"нет")+COUNTIF(I247,"нет")</f>
        <v>0</v>
      </c>
      <c r="J15" s="118"/>
      <c r="K15" s="143"/>
    </row>
    <row r="16" spans="1:11" s="37" customFormat="1" ht="17.25" customHeight="1" x14ac:dyDescent="0.25">
      <c r="A16" s="104"/>
      <c r="B16" s="104"/>
      <c r="C16" s="66" t="s">
        <v>17</v>
      </c>
      <c r="D16" s="70">
        <v>0</v>
      </c>
      <c r="E16" s="43">
        <v>0</v>
      </c>
      <c r="F16" s="57"/>
      <c r="G16" s="111"/>
      <c r="H16" s="25" t="s">
        <v>22</v>
      </c>
      <c r="I16" s="31">
        <f>I13/I12*100</f>
        <v>0</v>
      </c>
      <c r="J16" s="119"/>
      <c r="K16" s="144"/>
    </row>
    <row r="17" spans="1:11" s="37" customFormat="1" x14ac:dyDescent="0.25">
      <c r="A17" s="104"/>
      <c r="B17" s="104" t="s">
        <v>88</v>
      </c>
      <c r="C17" s="66" t="s">
        <v>13</v>
      </c>
      <c r="D17" s="69">
        <f>D18+D19</f>
        <v>484941.5</v>
      </c>
      <c r="E17" s="43">
        <f>E18+E19+E20+E21</f>
        <v>125810.55</v>
      </c>
      <c r="F17" s="57">
        <f>E17/D17*100</f>
        <v>25.943448848984879</v>
      </c>
      <c r="G17" s="109"/>
      <c r="H17" s="25" t="s">
        <v>18</v>
      </c>
      <c r="I17" s="20">
        <f>COUNTA(I102)</f>
        <v>1</v>
      </c>
      <c r="J17" s="117" t="s">
        <v>23</v>
      </c>
      <c r="K17" s="142" t="s">
        <v>23</v>
      </c>
    </row>
    <row r="18" spans="1:11" s="37" customFormat="1" x14ac:dyDescent="0.25">
      <c r="A18" s="104"/>
      <c r="B18" s="104"/>
      <c r="C18" s="66" t="s">
        <v>14</v>
      </c>
      <c r="D18" s="70">
        <v>0</v>
      </c>
      <c r="E18" s="43">
        <v>0</v>
      </c>
      <c r="F18" s="57"/>
      <c r="G18" s="110"/>
      <c r="H18" s="25" t="s">
        <v>19</v>
      </c>
      <c r="I18" s="20">
        <f>COUNTIF(I102,"да")</f>
        <v>0</v>
      </c>
      <c r="J18" s="118"/>
      <c r="K18" s="143"/>
    </row>
    <row r="19" spans="1:11" s="37" customFormat="1" x14ac:dyDescent="0.25">
      <c r="A19" s="104"/>
      <c r="B19" s="104"/>
      <c r="C19" s="66" t="s">
        <v>16</v>
      </c>
      <c r="D19" s="70">
        <f>D104</f>
        <v>484941.5</v>
      </c>
      <c r="E19" s="43">
        <f>E104</f>
        <v>125810.55</v>
      </c>
      <c r="F19" s="57">
        <f>E19/D19*100</f>
        <v>25.943448848984879</v>
      </c>
      <c r="G19" s="110"/>
      <c r="H19" s="25" t="s">
        <v>20</v>
      </c>
      <c r="I19" s="20">
        <f>COUNTIF(I102,"частично")</f>
        <v>1</v>
      </c>
      <c r="J19" s="118"/>
      <c r="K19" s="143"/>
    </row>
    <row r="20" spans="1:11" s="37" customFormat="1" x14ac:dyDescent="0.25">
      <c r="A20" s="104"/>
      <c r="B20" s="104"/>
      <c r="C20" s="66" t="s">
        <v>15</v>
      </c>
      <c r="D20" s="70">
        <v>0</v>
      </c>
      <c r="E20" s="43">
        <v>0</v>
      </c>
      <c r="F20" s="57"/>
      <c r="G20" s="110"/>
      <c r="H20" s="25" t="s">
        <v>21</v>
      </c>
      <c r="I20" s="20">
        <f>COUNTIF(I102,"нет")</f>
        <v>0</v>
      </c>
      <c r="J20" s="118"/>
      <c r="K20" s="143"/>
    </row>
    <row r="21" spans="1:11" s="37" customFormat="1" x14ac:dyDescent="0.25">
      <c r="A21" s="104"/>
      <c r="B21" s="104"/>
      <c r="C21" s="66" t="s">
        <v>17</v>
      </c>
      <c r="D21" s="70">
        <v>0</v>
      </c>
      <c r="E21" s="43">
        <v>0</v>
      </c>
      <c r="F21" s="57"/>
      <c r="G21" s="111"/>
      <c r="H21" s="25" t="s">
        <v>22</v>
      </c>
      <c r="I21" s="31">
        <f>I18/I17*100</f>
        <v>0</v>
      </c>
      <c r="J21" s="119"/>
      <c r="K21" s="144"/>
    </row>
    <row r="22" spans="1:11" s="37" customFormat="1" x14ac:dyDescent="0.25">
      <c r="A22" s="104"/>
      <c r="B22" s="104" t="s">
        <v>89</v>
      </c>
      <c r="C22" s="66" t="s">
        <v>13</v>
      </c>
      <c r="D22" s="70">
        <f>D23+D24</f>
        <v>21607.4</v>
      </c>
      <c r="E22" s="43">
        <f>E23+E24+E25+E26</f>
        <v>10924.82</v>
      </c>
      <c r="F22" s="57">
        <f>E22/D22*100</f>
        <v>50.560548700908015</v>
      </c>
      <c r="G22" s="109"/>
      <c r="H22" s="25" t="s">
        <v>18</v>
      </c>
      <c r="I22" s="20">
        <f>COUNTA(I107:I116,I142,I257,I267:I276)</f>
        <v>3</v>
      </c>
      <c r="J22" s="117" t="s">
        <v>23</v>
      </c>
      <c r="K22" s="142" t="s">
        <v>23</v>
      </c>
    </row>
    <row r="23" spans="1:11" s="37" customFormat="1" x14ac:dyDescent="0.25">
      <c r="A23" s="104"/>
      <c r="B23" s="104"/>
      <c r="C23" s="66" t="s">
        <v>14</v>
      </c>
      <c r="D23" s="70">
        <f>D113+D118+D143+D258+D268+D273</f>
        <v>9456.6</v>
      </c>
      <c r="E23" s="43">
        <f>E108+E143+E258</f>
        <v>3647.9700000000003</v>
      </c>
      <c r="F23" s="57">
        <f>E23/D23*100</f>
        <v>38.575915233804963</v>
      </c>
      <c r="G23" s="110"/>
      <c r="H23" s="25" t="s">
        <v>19</v>
      </c>
      <c r="I23" s="20">
        <f>COUNTIF(I107:I116,"да")+COUNTIF(I142,"да")+COUNTIF(I257,"да")+COUNTIF(I267:I276,"да")</f>
        <v>1</v>
      </c>
      <c r="J23" s="118"/>
      <c r="K23" s="143"/>
    </row>
    <row r="24" spans="1:11" s="37" customFormat="1" x14ac:dyDescent="0.25">
      <c r="A24" s="104"/>
      <c r="B24" s="104"/>
      <c r="C24" s="66" t="s">
        <v>16</v>
      </c>
      <c r="D24" s="70">
        <f>D114+D109+D119+D259+D269+D274</f>
        <v>12150.8</v>
      </c>
      <c r="E24" s="43">
        <f>E114+E119</f>
        <v>7276.85</v>
      </c>
      <c r="F24" s="57">
        <f>E24/D24*100</f>
        <v>59.887826315962741</v>
      </c>
      <c r="G24" s="110"/>
      <c r="H24" s="25" t="s">
        <v>20</v>
      </c>
      <c r="I24" s="20">
        <f>COUNTIF(I107:I116,"частично")+COUNTIF(I142,"частично")+COUNTIF(I257,"частично")+COUNTIF(I267:I276,"частично")</f>
        <v>2</v>
      </c>
      <c r="J24" s="118"/>
      <c r="K24" s="143"/>
    </row>
    <row r="25" spans="1:11" s="37" customFormat="1" x14ac:dyDescent="0.25">
      <c r="A25" s="104"/>
      <c r="B25" s="104"/>
      <c r="C25" s="66" t="s">
        <v>15</v>
      </c>
      <c r="D25" s="70">
        <v>0</v>
      </c>
      <c r="E25" s="43">
        <v>0</v>
      </c>
      <c r="F25" s="57"/>
      <c r="G25" s="110"/>
      <c r="H25" s="25" t="s">
        <v>21</v>
      </c>
      <c r="I25" s="20">
        <f>COUNTIF(I107:I116,"нет")+COUNTIF(I142,"нет")+COUNTIF(I257,"нет")+COUNTIF(I267:I276,"нет")</f>
        <v>0</v>
      </c>
      <c r="J25" s="118"/>
      <c r="K25" s="143"/>
    </row>
    <row r="26" spans="1:11" s="37" customFormat="1" x14ac:dyDescent="0.25">
      <c r="A26" s="104"/>
      <c r="B26" s="104"/>
      <c r="C26" s="66" t="s">
        <v>17</v>
      </c>
      <c r="D26" s="70">
        <v>0</v>
      </c>
      <c r="E26" s="43">
        <v>0</v>
      </c>
      <c r="F26" s="57"/>
      <c r="G26" s="111"/>
      <c r="H26" s="25" t="s">
        <v>22</v>
      </c>
      <c r="I26" s="31">
        <f>I23/I22*100</f>
        <v>33.333333333333329</v>
      </c>
      <c r="J26" s="119"/>
      <c r="K26" s="144"/>
    </row>
    <row r="27" spans="1:11" s="37" customFormat="1" x14ac:dyDescent="0.25">
      <c r="A27" s="104"/>
      <c r="B27" s="104" t="s">
        <v>250</v>
      </c>
      <c r="C27" s="66" t="s">
        <v>13</v>
      </c>
      <c r="D27" s="70">
        <f>D28+D29</f>
        <v>120969.9</v>
      </c>
      <c r="E27" s="43">
        <f>E28+E29+E30+E31</f>
        <v>62269.884999999995</v>
      </c>
      <c r="F27" s="57">
        <f>E27/D27*100</f>
        <v>51.475519943390879</v>
      </c>
      <c r="G27" s="123"/>
      <c r="H27" s="25" t="s">
        <v>18</v>
      </c>
      <c r="I27" s="20">
        <f>COUNTA(I132:I151,I157:I171,I177:I196,I202,I262,I287:I311)</f>
        <v>17</v>
      </c>
      <c r="J27" s="117" t="s">
        <v>23</v>
      </c>
      <c r="K27" s="142" t="s">
        <v>23</v>
      </c>
    </row>
    <row r="28" spans="1:11" s="37" customFormat="1" x14ac:dyDescent="0.25">
      <c r="A28" s="104"/>
      <c r="B28" s="104"/>
      <c r="C28" s="66" t="s">
        <v>14</v>
      </c>
      <c r="D28" s="70">
        <f>D138+D148+D158+D163+D168+D178+D183+D188+D193+D278</f>
        <v>90766.8</v>
      </c>
      <c r="E28" s="43">
        <f>E138+E148+E158+E163+E168+E178+E183+E188+E193+E198+E278</f>
        <v>49031.149999999994</v>
      </c>
      <c r="F28" s="57">
        <f>E28/D28*100</f>
        <v>54.018815249628716</v>
      </c>
      <c r="G28" s="110"/>
      <c r="H28" s="25" t="s">
        <v>19</v>
      </c>
      <c r="I28" s="20">
        <f>COUNTIF(I132:I151,"да")+COUNTIF(I157:I171,"да")+COUNTIF(I177:I196,"да")+COUNTIF(I202,"да")+COUNTIF(I262,"да")+COUNTIF(I287:I311,"да")</f>
        <v>2</v>
      </c>
      <c r="J28" s="118"/>
      <c r="K28" s="143"/>
    </row>
    <row r="29" spans="1:11" s="37" customFormat="1" x14ac:dyDescent="0.25">
      <c r="A29" s="104"/>
      <c r="B29" s="104"/>
      <c r="C29" s="66" t="s">
        <v>16</v>
      </c>
      <c r="D29" s="70">
        <f>D139+D149+D154+D159+D164+D169+D179+D184+D189+D194+D204+D264+D279</f>
        <v>30203.1</v>
      </c>
      <c r="E29" s="43">
        <f>E139+E149+E159+E164+E169+E179+E184+E189+E194+E199+E279</f>
        <v>13238.734999999999</v>
      </c>
      <c r="F29" s="57">
        <f>E29/D29*100</f>
        <v>43.83237151153358</v>
      </c>
      <c r="G29" s="110"/>
      <c r="H29" s="25" t="s">
        <v>20</v>
      </c>
      <c r="I29" s="20">
        <f>COUNTIF(I132:I151,"частично")+COUNTIF(I157:I171,"частично")+COUNTIF(I177:I196,"частично")+COUNTIF(I202,"частично")+COUNTIF(I262,"частично")+COUNTIF(I287:I311,"частично")</f>
        <v>13</v>
      </c>
      <c r="J29" s="118"/>
      <c r="K29" s="143"/>
    </row>
    <row r="30" spans="1:11" s="37" customFormat="1" x14ac:dyDescent="0.25">
      <c r="A30" s="104"/>
      <c r="B30" s="104"/>
      <c r="C30" s="66" t="s">
        <v>15</v>
      </c>
      <c r="D30" s="70">
        <v>0</v>
      </c>
      <c r="E30" s="43">
        <v>0</v>
      </c>
      <c r="F30" s="57"/>
      <c r="G30" s="110"/>
      <c r="H30" s="25" t="s">
        <v>21</v>
      </c>
      <c r="I30" s="20">
        <f>COUNTIF(I132:I151,"нет")+COUNTIF(I157:I171,"нет")+COUNTIF(I177:I196,"нет")+COUNTIF(I202,"нет")+COUNTIF(I262,"нет")+COUNTIF(I287:I311,"нет")</f>
        <v>2</v>
      </c>
      <c r="J30" s="118"/>
      <c r="K30" s="143"/>
    </row>
    <row r="31" spans="1:11" s="37" customFormat="1" x14ac:dyDescent="0.25">
      <c r="A31" s="104"/>
      <c r="B31" s="104"/>
      <c r="C31" s="66" t="s">
        <v>17</v>
      </c>
      <c r="D31" s="70">
        <v>0</v>
      </c>
      <c r="E31" s="43">
        <v>0</v>
      </c>
      <c r="F31" s="57"/>
      <c r="G31" s="111"/>
      <c r="H31" s="25" t="s">
        <v>22</v>
      </c>
      <c r="I31" s="31">
        <f>I28/I27*100</f>
        <v>11.76470588235294</v>
      </c>
      <c r="J31" s="119"/>
      <c r="K31" s="144"/>
    </row>
    <row r="32" spans="1:11" x14ac:dyDescent="0.25">
      <c r="A32" s="104"/>
      <c r="B32" s="104" t="s">
        <v>90</v>
      </c>
      <c r="C32" s="66" t="s">
        <v>13</v>
      </c>
      <c r="D32" s="70">
        <f>D33+D34</f>
        <v>1634.6</v>
      </c>
      <c r="E32" s="43">
        <f>E33+E34+E35+E36</f>
        <v>323.60000000000002</v>
      </c>
      <c r="F32" s="57">
        <f>E32/D32*100</f>
        <v>19.796892206044294</v>
      </c>
      <c r="G32" s="109"/>
      <c r="H32" s="25" t="s">
        <v>18</v>
      </c>
      <c r="I32" s="20">
        <f>COUNTA(I232)</f>
        <v>1</v>
      </c>
      <c r="J32" s="117" t="s">
        <v>23</v>
      </c>
      <c r="K32" s="142" t="s">
        <v>23</v>
      </c>
    </row>
    <row r="33" spans="1:11" x14ac:dyDescent="0.25">
      <c r="A33" s="104"/>
      <c r="B33" s="104"/>
      <c r="C33" s="66" t="s">
        <v>14</v>
      </c>
      <c r="D33" s="70">
        <v>0</v>
      </c>
      <c r="E33" s="43">
        <v>0</v>
      </c>
      <c r="F33" s="57"/>
      <c r="G33" s="110"/>
      <c r="H33" s="25" t="s">
        <v>19</v>
      </c>
      <c r="I33" s="20">
        <f>COUNTIF(I232,"да")</f>
        <v>0</v>
      </c>
      <c r="J33" s="118"/>
      <c r="K33" s="143"/>
    </row>
    <row r="34" spans="1:11" x14ac:dyDescent="0.25">
      <c r="A34" s="104"/>
      <c r="B34" s="104"/>
      <c r="C34" s="66" t="s">
        <v>16</v>
      </c>
      <c r="D34" s="70">
        <f>D234</f>
        <v>1634.6</v>
      </c>
      <c r="E34" s="43">
        <f>E234</f>
        <v>323.60000000000002</v>
      </c>
      <c r="F34" s="57">
        <f>E34/D34*100</f>
        <v>19.796892206044294</v>
      </c>
      <c r="G34" s="110"/>
      <c r="H34" s="25" t="s">
        <v>20</v>
      </c>
      <c r="I34" s="20">
        <f>COUNTIF(I232,"частично")</f>
        <v>1</v>
      </c>
      <c r="J34" s="118"/>
      <c r="K34" s="143"/>
    </row>
    <row r="35" spans="1:11" x14ac:dyDescent="0.25">
      <c r="A35" s="104"/>
      <c r="B35" s="104"/>
      <c r="C35" s="66" t="s">
        <v>15</v>
      </c>
      <c r="D35" s="70">
        <v>0</v>
      </c>
      <c r="E35" s="43">
        <v>0</v>
      </c>
      <c r="F35" s="57"/>
      <c r="G35" s="110"/>
      <c r="H35" s="25" t="s">
        <v>21</v>
      </c>
      <c r="I35" s="20">
        <f>COUNTIF(I232,"нет")</f>
        <v>0</v>
      </c>
      <c r="J35" s="118"/>
      <c r="K35" s="143"/>
    </row>
    <row r="36" spans="1:11" x14ac:dyDescent="0.25">
      <c r="A36" s="104"/>
      <c r="B36" s="104"/>
      <c r="C36" s="66" t="s">
        <v>17</v>
      </c>
      <c r="D36" s="70">
        <v>0</v>
      </c>
      <c r="E36" s="43">
        <v>0</v>
      </c>
      <c r="F36" s="57"/>
      <c r="G36" s="111"/>
      <c r="H36" s="25" t="s">
        <v>22</v>
      </c>
      <c r="I36" s="31">
        <f>I33/I32*100</f>
        <v>0</v>
      </c>
      <c r="J36" s="119"/>
      <c r="K36" s="144"/>
    </row>
    <row r="37" spans="1:11" x14ac:dyDescent="0.25">
      <c r="A37" s="104"/>
      <c r="B37" s="104" t="s">
        <v>91</v>
      </c>
      <c r="C37" s="66" t="s">
        <v>13</v>
      </c>
      <c r="D37" s="70">
        <f>D38+D39</f>
        <v>3027</v>
      </c>
      <c r="E37" s="43">
        <f>E38+E39+E40+E41</f>
        <v>1457.7550000000001</v>
      </c>
      <c r="F37" s="57">
        <f>E37/D37*100</f>
        <v>48.158407664354144</v>
      </c>
      <c r="G37" s="109"/>
      <c r="H37" s="25" t="s">
        <v>18</v>
      </c>
      <c r="I37" s="20">
        <f>COUNTA(I212:I216,I222:I226)</f>
        <v>2</v>
      </c>
      <c r="J37" s="117" t="s">
        <v>23</v>
      </c>
      <c r="K37" s="142" t="s">
        <v>23</v>
      </c>
    </row>
    <row r="38" spans="1:11" x14ac:dyDescent="0.25">
      <c r="A38" s="104"/>
      <c r="B38" s="104"/>
      <c r="C38" s="66" t="s">
        <v>14</v>
      </c>
      <c r="D38" s="70">
        <f>D208</f>
        <v>33</v>
      </c>
      <c r="E38" s="43">
        <f>E208</f>
        <v>0.86499999999999999</v>
      </c>
      <c r="F38" s="57">
        <f>E38/D38*100</f>
        <v>2.6212121212121211</v>
      </c>
      <c r="G38" s="110"/>
      <c r="H38" s="25" t="s">
        <v>19</v>
      </c>
      <c r="I38" s="20">
        <f>COUNTIF(I72:I86,"да")</f>
        <v>0</v>
      </c>
      <c r="J38" s="118"/>
      <c r="K38" s="143"/>
    </row>
    <row r="39" spans="1:11" x14ac:dyDescent="0.25">
      <c r="A39" s="104"/>
      <c r="B39" s="104"/>
      <c r="C39" s="66" t="s">
        <v>16</v>
      </c>
      <c r="D39" s="70">
        <f>D224</f>
        <v>2994</v>
      </c>
      <c r="E39" s="43">
        <f>E219</f>
        <v>1456.89</v>
      </c>
      <c r="F39" s="57">
        <f>E39/D39*100</f>
        <v>48.660320641282567</v>
      </c>
      <c r="G39" s="110"/>
      <c r="H39" s="25" t="s">
        <v>20</v>
      </c>
      <c r="I39" s="20">
        <f>COUNTIF(I212:I216,"частично")+COUNTIF(I222:I226,"частично")</f>
        <v>2</v>
      </c>
      <c r="J39" s="118"/>
      <c r="K39" s="143"/>
    </row>
    <row r="40" spans="1:11" x14ac:dyDescent="0.25">
      <c r="A40" s="104"/>
      <c r="B40" s="104"/>
      <c r="C40" s="66" t="s">
        <v>15</v>
      </c>
      <c r="D40" s="70">
        <v>0</v>
      </c>
      <c r="E40" s="43">
        <v>0</v>
      </c>
      <c r="F40" s="57"/>
      <c r="G40" s="110"/>
      <c r="H40" s="25" t="s">
        <v>21</v>
      </c>
      <c r="I40" s="20">
        <f>COUNTIF(I72:I86,"нет")</f>
        <v>0</v>
      </c>
      <c r="J40" s="118"/>
      <c r="K40" s="143"/>
    </row>
    <row r="41" spans="1:11" x14ac:dyDescent="0.25">
      <c r="A41" s="104"/>
      <c r="B41" s="104"/>
      <c r="C41" s="66" t="s">
        <v>17</v>
      </c>
      <c r="D41" s="70">
        <v>0</v>
      </c>
      <c r="E41" s="43">
        <v>0</v>
      </c>
      <c r="F41" s="57"/>
      <c r="G41" s="111"/>
      <c r="H41" s="25" t="s">
        <v>22</v>
      </c>
      <c r="I41" s="31">
        <f>I38/I37*100</f>
        <v>0</v>
      </c>
      <c r="J41" s="119"/>
      <c r="K41" s="144"/>
    </row>
    <row r="42" spans="1:11" x14ac:dyDescent="0.25">
      <c r="A42" s="104"/>
      <c r="B42" s="104" t="s">
        <v>92</v>
      </c>
      <c r="C42" s="66" t="s">
        <v>13</v>
      </c>
      <c r="D42" s="70">
        <f>D43+D44</f>
        <v>1418.2</v>
      </c>
      <c r="E42" s="43">
        <f>E43+E44+E45+E46</f>
        <v>131.59</v>
      </c>
      <c r="F42" s="57">
        <f>E42/D42*100</f>
        <v>9.2786630940628978</v>
      </c>
      <c r="G42" s="109"/>
      <c r="H42" s="25" t="s">
        <v>18</v>
      </c>
      <c r="I42" s="20">
        <f>COUNTA(I252)</f>
        <v>1</v>
      </c>
      <c r="J42" s="117" t="s">
        <v>23</v>
      </c>
      <c r="K42" s="142" t="s">
        <v>23</v>
      </c>
    </row>
    <row r="43" spans="1:11" x14ac:dyDescent="0.25">
      <c r="A43" s="104"/>
      <c r="B43" s="104"/>
      <c r="C43" s="66" t="s">
        <v>14</v>
      </c>
      <c r="D43" s="73">
        <f>D253</f>
        <v>1418.2</v>
      </c>
      <c r="E43" s="43">
        <f>E253</f>
        <v>131.59</v>
      </c>
      <c r="F43" s="57">
        <f>E43/D43*100</f>
        <v>9.2786630940628978</v>
      </c>
      <c r="G43" s="110"/>
      <c r="H43" s="25" t="s">
        <v>19</v>
      </c>
      <c r="I43" s="20">
        <f>COUNTIF(I252,"да")</f>
        <v>0</v>
      </c>
      <c r="J43" s="118"/>
      <c r="K43" s="143"/>
    </row>
    <row r="44" spans="1:11" x14ac:dyDescent="0.25">
      <c r="A44" s="104"/>
      <c r="B44" s="104"/>
      <c r="C44" s="66" t="s">
        <v>16</v>
      </c>
      <c r="D44" s="70">
        <v>0</v>
      </c>
      <c r="E44" s="43">
        <v>0</v>
      </c>
      <c r="F44" s="57"/>
      <c r="G44" s="110"/>
      <c r="H44" s="25" t="s">
        <v>20</v>
      </c>
      <c r="I44" s="20">
        <f>COUNTIF(I252,"частично")</f>
        <v>1</v>
      </c>
      <c r="J44" s="118"/>
      <c r="K44" s="143"/>
    </row>
    <row r="45" spans="1:11" x14ac:dyDescent="0.25">
      <c r="A45" s="104"/>
      <c r="B45" s="104"/>
      <c r="C45" s="66" t="s">
        <v>15</v>
      </c>
      <c r="D45" s="70">
        <v>0</v>
      </c>
      <c r="E45" s="43">
        <v>0</v>
      </c>
      <c r="F45" s="57"/>
      <c r="G45" s="110"/>
      <c r="H45" s="25" t="s">
        <v>21</v>
      </c>
      <c r="I45" s="20">
        <f>COUNTIF(I252,"нет")</f>
        <v>0</v>
      </c>
      <c r="J45" s="118"/>
      <c r="K45" s="143"/>
    </row>
    <row r="46" spans="1:11" ht="14.4" customHeight="1" x14ac:dyDescent="0.25">
      <c r="A46" s="104"/>
      <c r="B46" s="104"/>
      <c r="C46" s="66" t="s">
        <v>17</v>
      </c>
      <c r="D46" s="70">
        <v>0</v>
      </c>
      <c r="E46" s="43">
        <v>0</v>
      </c>
      <c r="F46" s="57"/>
      <c r="G46" s="111"/>
      <c r="H46" s="25" t="s">
        <v>22</v>
      </c>
      <c r="I46" s="31">
        <f>I43/I42*100</f>
        <v>0</v>
      </c>
      <c r="J46" s="119"/>
      <c r="K46" s="144"/>
    </row>
    <row r="47" spans="1:11" ht="14.4" customHeight="1" x14ac:dyDescent="0.25">
      <c r="A47" s="104"/>
      <c r="B47" s="104" t="s">
        <v>254</v>
      </c>
      <c r="C47" s="66" t="s">
        <v>13</v>
      </c>
      <c r="D47" s="69">
        <v>3060.9</v>
      </c>
      <c r="E47" s="43">
        <f>E48+E49+E50+E51</f>
        <v>901</v>
      </c>
      <c r="F47" s="57">
        <f>E47/D47*100</f>
        <v>29.435786860073833</v>
      </c>
      <c r="G47" s="109"/>
      <c r="H47" s="25" t="s">
        <v>18</v>
      </c>
      <c r="I47" s="20">
        <f>COUNTA(I257)</f>
        <v>1</v>
      </c>
      <c r="J47" s="117" t="s">
        <v>23</v>
      </c>
      <c r="K47" s="142" t="s">
        <v>23</v>
      </c>
    </row>
    <row r="48" spans="1:11" ht="14.4" customHeight="1" x14ac:dyDescent="0.25">
      <c r="A48" s="104"/>
      <c r="B48" s="104"/>
      <c r="C48" s="66" t="s">
        <v>14</v>
      </c>
      <c r="D48" s="69">
        <f>D133</f>
        <v>3060.9</v>
      </c>
      <c r="E48" s="43">
        <f>E133</f>
        <v>901</v>
      </c>
      <c r="F48" s="57">
        <f>E48/D48*100</f>
        <v>29.435786860073833</v>
      </c>
      <c r="G48" s="110"/>
      <c r="H48" s="25" t="s">
        <v>19</v>
      </c>
      <c r="I48" s="20">
        <f>COUNTIF(I257,"да")</f>
        <v>0</v>
      </c>
      <c r="J48" s="118"/>
      <c r="K48" s="143"/>
    </row>
    <row r="49" spans="1:11" ht="14.4" customHeight="1" x14ac:dyDescent="0.25">
      <c r="A49" s="104"/>
      <c r="B49" s="104"/>
      <c r="C49" s="66" t="s">
        <v>16</v>
      </c>
      <c r="D49" s="69">
        <v>0</v>
      </c>
      <c r="E49" s="43">
        <v>0</v>
      </c>
      <c r="F49" s="57"/>
      <c r="G49" s="110"/>
      <c r="H49" s="25" t="s">
        <v>20</v>
      </c>
      <c r="I49" s="20">
        <f>COUNTIF(I257,"частично")</f>
        <v>1</v>
      </c>
      <c r="J49" s="118"/>
      <c r="K49" s="143"/>
    </row>
    <row r="50" spans="1:11" ht="14.4" customHeight="1" x14ac:dyDescent="0.25">
      <c r="A50" s="104"/>
      <c r="B50" s="104"/>
      <c r="C50" s="66" t="s">
        <v>15</v>
      </c>
      <c r="D50" s="70">
        <f t="shared" ref="D50:D51" si="1">D55+D120+D235+D275</f>
        <v>0</v>
      </c>
      <c r="E50" s="43">
        <v>0</v>
      </c>
      <c r="F50" s="57"/>
      <c r="G50" s="110"/>
      <c r="H50" s="25" t="s">
        <v>21</v>
      </c>
      <c r="I50" s="20">
        <f>COUNTIF(I257,"нет")</f>
        <v>0</v>
      </c>
      <c r="J50" s="118"/>
      <c r="K50" s="143"/>
    </row>
    <row r="51" spans="1:11" ht="14.4" customHeight="1" x14ac:dyDescent="0.25">
      <c r="A51" s="104"/>
      <c r="B51" s="104"/>
      <c r="C51" s="66" t="s">
        <v>17</v>
      </c>
      <c r="D51" s="70">
        <f t="shared" si="1"/>
        <v>0</v>
      </c>
      <c r="E51" s="43">
        <v>0</v>
      </c>
      <c r="F51" s="57"/>
      <c r="G51" s="111"/>
      <c r="H51" s="25" t="s">
        <v>22</v>
      </c>
      <c r="I51" s="31">
        <f>I48/I47*100</f>
        <v>0</v>
      </c>
      <c r="J51" s="119"/>
      <c r="K51" s="144"/>
    </row>
    <row r="52" spans="1:11" ht="14.4" customHeight="1" x14ac:dyDescent="0.25">
      <c r="A52" s="148"/>
      <c r="B52" s="149" t="s">
        <v>248</v>
      </c>
      <c r="C52" s="63" t="s">
        <v>249</v>
      </c>
      <c r="D52" s="45">
        <f t="shared" ref="D52" si="2">SUM(D53:D55)</f>
        <v>964086.80000000016</v>
      </c>
      <c r="E52" s="53">
        <f t="shared" ref="E52:F52" si="3">SUM(E53:E55)</f>
        <v>345359.31399999995</v>
      </c>
      <c r="F52" s="53" t="e">
        <f t="shared" si="3"/>
        <v>#DIV/0!</v>
      </c>
      <c r="G52" s="109"/>
      <c r="H52" s="25" t="s">
        <v>18</v>
      </c>
      <c r="I52" s="20">
        <f>COUNTA(I262)</f>
        <v>0</v>
      </c>
      <c r="J52" s="117" t="s">
        <v>23</v>
      </c>
      <c r="K52" s="142" t="s">
        <v>23</v>
      </c>
    </row>
    <row r="53" spans="1:11" ht="14.4" customHeight="1" x14ac:dyDescent="0.25">
      <c r="A53" s="148"/>
      <c r="B53" s="149"/>
      <c r="C53" s="63" t="s">
        <v>14</v>
      </c>
      <c r="D53" s="45">
        <f t="shared" ref="D53:D56" si="4">D58+D123+D238+D278</f>
        <v>105735.5</v>
      </c>
      <c r="E53" s="54">
        <f t="shared" ref="E53:F56" si="5">E58+E123+E238+E278</f>
        <v>53952.574999999997</v>
      </c>
      <c r="F53" s="54" t="e">
        <f t="shared" si="5"/>
        <v>#DIV/0!</v>
      </c>
      <c r="G53" s="110"/>
      <c r="H53" s="25" t="s">
        <v>19</v>
      </c>
      <c r="I53" s="20">
        <f>COUNTIF(I262,"да")</f>
        <v>0</v>
      </c>
      <c r="J53" s="118"/>
      <c r="K53" s="143"/>
    </row>
    <row r="54" spans="1:11" ht="14.4" customHeight="1" x14ac:dyDescent="0.25">
      <c r="A54" s="148"/>
      <c r="B54" s="149"/>
      <c r="C54" s="63" t="s">
        <v>16</v>
      </c>
      <c r="D54" s="45">
        <f t="shared" si="4"/>
        <v>858351.30000000016</v>
      </c>
      <c r="E54" s="54">
        <f t="shared" si="5"/>
        <v>291406.73899999994</v>
      </c>
      <c r="F54" s="54">
        <f t="shared" si="5"/>
        <v>122.52516737041819</v>
      </c>
      <c r="G54" s="110"/>
      <c r="H54" s="25" t="s">
        <v>20</v>
      </c>
      <c r="I54" s="20">
        <f>COUNTIF(I262,"частично")</f>
        <v>0</v>
      </c>
      <c r="J54" s="118"/>
      <c r="K54" s="143"/>
    </row>
    <row r="55" spans="1:11" ht="14.4" customHeight="1" x14ac:dyDescent="0.25">
      <c r="A55" s="148"/>
      <c r="B55" s="149"/>
      <c r="C55" s="63" t="s">
        <v>15</v>
      </c>
      <c r="D55" s="43">
        <f t="shared" si="4"/>
        <v>0</v>
      </c>
      <c r="E55" s="52">
        <f t="shared" si="5"/>
        <v>0</v>
      </c>
      <c r="F55" s="52">
        <f t="shared" si="5"/>
        <v>0</v>
      </c>
      <c r="G55" s="110"/>
      <c r="H55" s="25" t="s">
        <v>21</v>
      </c>
      <c r="I55" s="20">
        <f>COUNTIF(I262,"нет")</f>
        <v>0</v>
      </c>
      <c r="J55" s="118"/>
      <c r="K55" s="143"/>
    </row>
    <row r="56" spans="1:11" ht="14.4" customHeight="1" x14ac:dyDescent="0.25">
      <c r="A56" s="148"/>
      <c r="B56" s="149"/>
      <c r="C56" s="63" t="s">
        <v>17</v>
      </c>
      <c r="D56" s="43">
        <f t="shared" si="4"/>
        <v>0</v>
      </c>
      <c r="E56" s="52">
        <f t="shared" si="5"/>
        <v>0</v>
      </c>
      <c r="F56" s="52">
        <f t="shared" si="5"/>
        <v>0</v>
      </c>
      <c r="G56" s="111"/>
      <c r="H56" s="25" t="s">
        <v>22</v>
      </c>
      <c r="I56" s="31"/>
      <c r="J56" s="119"/>
      <c r="K56" s="144"/>
    </row>
    <row r="57" spans="1:11" x14ac:dyDescent="0.25">
      <c r="A57" s="113" t="s">
        <v>24</v>
      </c>
      <c r="B57" s="113" t="s">
        <v>170</v>
      </c>
      <c r="C57" s="68" t="s">
        <v>13</v>
      </c>
      <c r="D57" s="84">
        <f t="shared" ref="D57" si="6">SUM(D58:D60)</f>
        <v>823519.60000000009</v>
      </c>
      <c r="E57" s="55">
        <f>E58+E59+E60+E61</f>
        <v>276387.51399999997</v>
      </c>
      <c r="F57" s="56">
        <f>E57/D57*100</f>
        <v>33.561740849883833</v>
      </c>
      <c r="G57" s="142"/>
      <c r="H57" s="29" t="s">
        <v>18</v>
      </c>
      <c r="I57" s="21">
        <f>I62+I87</f>
        <v>5</v>
      </c>
      <c r="J57" s="117" t="s">
        <v>146</v>
      </c>
      <c r="K57" s="142"/>
    </row>
    <row r="58" spans="1:11" x14ac:dyDescent="0.25">
      <c r="A58" s="113"/>
      <c r="B58" s="113"/>
      <c r="C58" s="68" t="s">
        <v>14</v>
      </c>
      <c r="D58" s="82">
        <f t="shared" ref="D58:D61" si="7">D63+D88</f>
        <v>0</v>
      </c>
      <c r="E58" s="55">
        <f>E63+E88</f>
        <v>0</v>
      </c>
      <c r="F58" s="56" t="e">
        <f>E58/D58*100</f>
        <v>#DIV/0!</v>
      </c>
      <c r="G58" s="143"/>
      <c r="H58" s="29" t="s">
        <v>19</v>
      </c>
      <c r="I58" s="21">
        <f>I63+I88</f>
        <v>0</v>
      </c>
      <c r="J58" s="118"/>
      <c r="K58" s="143"/>
    </row>
    <row r="59" spans="1:11" x14ac:dyDescent="0.25">
      <c r="A59" s="113"/>
      <c r="B59" s="113"/>
      <c r="C59" s="68" t="s">
        <v>16</v>
      </c>
      <c r="D59" s="82">
        <f t="shared" si="7"/>
        <v>823519.60000000009</v>
      </c>
      <c r="E59" s="55">
        <f t="shared" ref="E59:E61" si="8">E64+E89</f>
        <v>276387.51399999997</v>
      </c>
      <c r="F59" s="56">
        <f>E59/D59*100</f>
        <v>33.561740849883833</v>
      </c>
      <c r="G59" s="143"/>
      <c r="H59" s="29" t="s">
        <v>20</v>
      </c>
      <c r="I59" s="21">
        <f>I64+I89</f>
        <v>5</v>
      </c>
      <c r="J59" s="118"/>
      <c r="K59" s="143"/>
    </row>
    <row r="60" spans="1:11" x14ac:dyDescent="0.25">
      <c r="A60" s="113"/>
      <c r="B60" s="113"/>
      <c r="C60" s="68" t="s">
        <v>15</v>
      </c>
      <c r="D60" s="83">
        <f t="shared" si="7"/>
        <v>0</v>
      </c>
      <c r="E60" s="55">
        <f t="shared" si="8"/>
        <v>0</v>
      </c>
      <c r="F60" s="56"/>
      <c r="G60" s="143"/>
      <c r="H60" s="29" t="s">
        <v>21</v>
      </c>
      <c r="I60" s="21">
        <f>I65+I90</f>
        <v>0</v>
      </c>
      <c r="J60" s="118"/>
      <c r="K60" s="143"/>
    </row>
    <row r="61" spans="1:11" ht="29.4" customHeight="1" x14ac:dyDescent="0.25">
      <c r="A61" s="113"/>
      <c r="B61" s="113"/>
      <c r="C61" s="68" t="s">
        <v>17</v>
      </c>
      <c r="D61" s="72">
        <f t="shared" si="7"/>
        <v>0</v>
      </c>
      <c r="E61" s="55">
        <f t="shared" si="8"/>
        <v>0</v>
      </c>
      <c r="F61" s="56"/>
      <c r="G61" s="144"/>
      <c r="H61" s="29" t="s">
        <v>22</v>
      </c>
      <c r="I61" s="30">
        <f>I58/I57*100</f>
        <v>0</v>
      </c>
      <c r="J61" s="119"/>
      <c r="K61" s="144"/>
    </row>
    <row r="62" spans="1:11" x14ac:dyDescent="0.25">
      <c r="A62" s="104" t="s">
        <v>25</v>
      </c>
      <c r="B62" s="104" t="s">
        <v>93</v>
      </c>
      <c r="C62" s="66" t="s">
        <v>13</v>
      </c>
      <c r="D62" s="69">
        <f>SUM(D63:D66)</f>
        <v>306898.90000000002</v>
      </c>
      <c r="E62" s="43">
        <f>E63+E64+E65</f>
        <v>133649.03599999999</v>
      </c>
      <c r="F62" s="57">
        <f>E62/D62*100</f>
        <v>43.548229074786512</v>
      </c>
      <c r="G62" s="123"/>
      <c r="H62" s="25" t="s">
        <v>18</v>
      </c>
      <c r="I62" s="20">
        <f>COUNTA(I67)</f>
        <v>1</v>
      </c>
      <c r="J62" s="109" t="s">
        <v>87</v>
      </c>
      <c r="K62" s="91" t="s">
        <v>257</v>
      </c>
    </row>
    <row r="63" spans="1:11" x14ac:dyDescent="0.25">
      <c r="A63" s="104"/>
      <c r="B63" s="104"/>
      <c r="C63" s="66" t="s">
        <v>14</v>
      </c>
      <c r="D63" s="70">
        <f t="shared" ref="D63:D64" si="9">D68</f>
        <v>0</v>
      </c>
      <c r="E63" s="43">
        <f>E73+E78+E83</f>
        <v>0</v>
      </c>
      <c r="F63" s="57"/>
      <c r="G63" s="110"/>
      <c r="H63" s="25" t="s">
        <v>19</v>
      </c>
      <c r="I63" s="20">
        <f>COUNTIF(I67,"да")</f>
        <v>0</v>
      </c>
      <c r="J63" s="110"/>
      <c r="K63" s="94"/>
    </row>
    <row r="64" spans="1:11" x14ac:dyDescent="0.25">
      <c r="A64" s="104"/>
      <c r="B64" s="104"/>
      <c r="C64" s="66" t="s">
        <v>16</v>
      </c>
      <c r="D64" s="69">
        <f t="shared" si="9"/>
        <v>306898.90000000002</v>
      </c>
      <c r="E64" s="43">
        <f t="shared" ref="E64:E66" si="10">E74+E79+E84</f>
        <v>133649.03599999999</v>
      </c>
      <c r="F64" s="57">
        <f>E64/D64*100</f>
        <v>43.548229074786512</v>
      </c>
      <c r="G64" s="110"/>
      <c r="H64" s="25" t="s">
        <v>20</v>
      </c>
      <c r="I64" s="20">
        <f>COUNTIF(I67,"частично")</f>
        <v>1</v>
      </c>
      <c r="J64" s="110"/>
      <c r="K64" s="94"/>
    </row>
    <row r="65" spans="1:11" x14ac:dyDescent="0.25">
      <c r="A65" s="104"/>
      <c r="B65" s="104"/>
      <c r="C65" s="66" t="s">
        <v>15</v>
      </c>
      <c r="D65" s="70">
        <v>0</v>
      </c>
      <c r="E65" s="43">
        <f t="shared" si="10"/>
        <v>0</v>
      </c>
      <c r="F65" s="57"/>
      <c r="G65" s="110"/>
      <c r="H65" s="25" t="s">
        <v>21</v>
      </c>
      <c r="I65" s="20">
        <f>COUNTIF(I67,"нет")</f>
        <v>0</v>
      </c>
      <c r="J65" s="110"/>
      <c r="K65" s="94"/>
    </row>
    <row r="66" spans="1:11" ht="30.75" customHeight="1" x14ac:dyDescent="0.25">
      <c r="A66" s="104"/>
      <c r="B66" s="104"/>
      <c r="C66" s="66" t="s">
        <v>17</v>
      </c>
      <c r="D66" s="42">
        <v>0</v>
      </c>
      <c r="E66" s="43">
        <f t="shared" si="10"/>
        <v>0</v>
      </c>
      <c r="F66" s="57"/>
      <c r="G66" s="111"/>
      <c r="H66" s="25" t="s">
        <v>22</v>
      </c>
      <c r="I66" s="31">
        <f>I63/I62*100</f>
        <v>0</v>
      </c>
      <c r="J66" s="111"/>
      <c r="K66" s="94"/>
    </row>
    <row r="67" spans="1:11" ht="19.2" customHeight="1" x14ac:dyDescent="0.25">
      <c r="A67" s="100" t="s">
        <v>26</v>
      </c>
      <c r="B67" s="100" t="s">
        <v>97</v>
      </c>
      <c r="C67" s="67" t="s">
        <v>13</v>
      </c>
      <c r="D67" s="70">
        <f>D69</f>
        <v>306898.90000000002</v>
      </c>
      <c r="E67" s="58">
        <f>E68+E69</f>
        <v>133649.04199999999</v>
      </c>
      <c r="F67" s="59">
        <f>E67/D67*100</f>
        <v>43.548231029827733</v>
      </c>
      <c r="G67" s="91" t="s">
        <v>234</v>
      </c>
      <c r="H67" s="96" t="s">
        <v>278</v>
      </c>
      <c r="I67" s="88" t="s">
        <v>81</v>
      </c>
      <c r="J67" s="91" t="s">
        <v>87</v>
      </c>
      <c r="K67" s="94"/>
    </row>
    <row r="68" spans="1:11" x14ac:dyDescent="0.25">
      <c r="A68" s="100"/>
      <c r="B68" s="100"/>
      <c r="C68" s="67" t="s">
        <v>14</v>
      </c>
      <c r="D68" s="70">
        <f t="shared" ref="D68:D71" si="11">D73+D78+D83</f>
        <v>0</v>
      </c>
      <c r="E68" s="58">
        <f>E73+E78+E83</f>
        <v>0</v>
      </c>
      <c r="F68" s="59"/>
      <c r="G68" s="92"/>
      <c r="H68" s="97"/>
      <c r="I68" s="89"/>
      <c r="J68" s="92"/>
      <c r="K68" s="94"/>
    </row>
    <row r="69" spans="1:11" x14ac:dyDescent="0.25">
      <c r="A69" s="100"/>
      <c r="B69" s="100"/>
      <c r="C69" s="67" t="s">
        <v>16</v>
      </c>
      <c r="D69" s="70">
        <f>D74+D79+D84</f>
        <v>306898.90000000002</v>
      </c>
      <c r="E69" s="58">
        <v>133649.04199999999</v>
      </c>
      <c r="F69" s="59">
        <f>E69/D69*100</f>
        <v>43.548231029827733</v>
      </c>
      <c r="G69" s="92"/>
      <c r="H69" s="97"/>
      <c r="I69" s="89"/>
      <c r="J69" s="92"/>
      <c r="K69" s="94"/>
    </row>
    <row r="70" spans="1:11" x14ac:dyDescent="0.25">
      <c r="A70" s="100"/>
      <c r="B70" s="100"/>
      <c r="C70" s="67" t="s">
        <v>15</v>
      </c>
      <c r="D70" s="70">
        <f t="shared" si="11"/>
        <v>0</v>
      </c>
      <c r="E70" s="58">
        <f t="shared" ref="E70:E71" si="12">E75+E80+E85</f>
        <v>0</v>
      </c>
      <c r="F70" s="59"/>
      <c r="G70" s="92"/>
      <c r="H70" s="97"/>
      <c r="I70" s="89"/>
      <c r="J70" s="92"/>
      <c r="K70" s="94"/>
    </row>
    <row r="71" spans="1:11" ht="69.75" customHeight="1" x14ac:dyDescent="0.25">
      <c r="A71" s="100"/>
      <c r="B71" s="100"/>
      <c r="C71" s="67" t="s">
        <v>17</v>
      </c>
      <c r="D71" s="43">
        <f t="shared" si="11"/>
        <v>0</v>
      </c>
      <c r="E71" s="58">
        <f t="shared" si="12"/>
        <v>0</v>
      </c>
      <c r="F71" s="59"/>
      <c r="G71" s="93"/>
      <c r="H71" s="112"/>
      <c r="I71" s="90"/>
      <c r="J71" s="93"/>
      <c r="K71" s="94"/>
    </row>
    <row r="72" spans="1:11" s="50" customFormat="1" ht="15" customHeight="1" x14ac:dyDescent="0.25">
      <c r="A72" s="100" t="s">
        <v>94</v>
      </c>
      <c r="B72" s="100" t="s">
        <v>98</v>
      </c>
      <c r="C72" s="67" t="s">
        <v>13</v>
      </c>
      <c r="D72" s="70">
        <f t="shared" ref="D72" si="13">D73+D74+D75+D76</f>
        <v>115039.8</v>
      </c>
      <c r="E72" s="51">
        <f t="shared" ref="E72" si="14">E73+E74+E75+E76</f>
        <v>55822.8</v>
      </c>
      <c r="F72" s="59">
        <f>E72/D72*100</f>
        <v>48.524771426932247</v>
      </c>
      <c r="G72" s="91" t="s">
        <v>261</v>
      </c>
      <c r="H72" s="101" t="s">
        <v>259</v>
      </c>
      <c r="I72" s="88" t="s">
        <v>81</v>
      </c>
      <c r="J72" s="91" t="s">
        <v>87</v>
      </c>
      <c r="K72" s="94"/>
    </row>
    <row r="73" spans="1:11" s="50" customFormat="1" x14ac:dyDescent="0.25">
      <c r="A73" s="100"/>
      <c r="B73" s="100"/>
      <c r="C73" s="67" t="s">
        <v>14</v>
      </c>
      <c r="D73" s="70">
        <v>0</v>
      </c>
      <c r="E73" s="51"/>
      <c r="F73" s="59"/>
      <c r="G73" s="92"/>
      <c r="H73" s="102"/>
      <c r="I73" s="89"/>
      <c r="J73" s="92"/>
      <c r="K73" s="94"/>
    </row>
    <row r="74" spans="1:11" s="50" customFormat="1" x14ac:dyDescent="0.25">
      <c r="A74" s="100"/>
      <c r="B74" s="100"/>
      <c r="C74" s="67" t="s">
        <v>16</v>
      </c>
      <c r="D74" s="70">
        <v>115039.8</v>
      </c>
      <c r="E74" s="51">
        <v>55822.8</v>
      </c>
      <c r="F74" s="59">
        <f>E74/D74*100</f>
        <v>48.524771426932247</v>
      </c>
      <c r="G74" s="92"/>
      <c r="H74" s="102"/>
      <c r="I74" s="89"/>
      <c r="J74" s="92"/>
      <c r="K74" s="94"/>
    </row>
    <row r="75" spans="1:11" s="50" customFormat="1" x14ac:dyDescent="0.25">
      <c r="A75" s="100"/>
      <c r="B75" s="100"/>
      <c r="C75" s="67" t="s">
        <v>15</v>
      </c>
      <c r="D75" s="70">
        <v>0</v>
      </c>
      <c r="E75" s="51">
        <v>0</v>
      </c>
      <c r="F75" s="59"/>
      <c r="G75" s="92"/>
      <c r="H75" s="102"/>
      <c r="I75" s="89"/>
      <c r="J75" s="92"/>
      <c r="K75" s="94"/>
    </row>
    <row r="76" spans="1:11" s="50" customFormat="1" ht="56.25" customHeight="1" x14ac:dyDescent="0.25">
      <c r="A76" s="100"/>
      <c r="B76" s="100"/>
      <c r="C76" s="67" t="s">
        <v>17</v>
      </c>
      <c r="D76" s="74">
        <v>0</v>
      </c>
      <c r="E76" s="51">
        <v>0</v>
      </c>
      <c r="F76" s="59"/>
      <c r="G76" s="93"/>
      <c r="H76" s="103"/>
      <c r="I76" s="90"/>
      <c r="J76" s="93"/>
      <c r="K76" s="94"/>
    </row>
    <row r="77" spans="1:11" s="50" customFormat="1" ht="14.4" customHeight="1" x14ac:dyDescent="0.25">
      <c r="A77" s="88" t="s">
        <v>95</v>
      </c>
      <c r="B77" s="100" t="s">
        <v>99</v>
      </c>
      <c r="C77" s="67" t="s">
        <v>13</v>
      </c>
      <c r="D77" s="70">
        <f t="shared" ref="D77" si="15">D78+D79+D80+D81</f>
        <v>89947</v>
      </c>
      <c r="E77" s="47">
        <f t="shared" ref="E77" si="16">E78+E79+E80+E81</f>
        <v>41932.6</v>
      </c>
      <c r="F77" s="59">
        <f>E77/D77*100</f>
        <v>46.619231325113674</v>
      </c>
      <c r="G77" s="91" t="s">
        <v>260</v>
      </c>
      <c r="H77" s="96" t="s">
        <v>258</v>
      </c>
      <c r="I77" s="88" t="s">
        <v>81</v>
      </c>
      <c r="J77" s="91" t="s">
        <v>87</v>
      </c>
      <c r="K77" s="94"/>
    </row>
    <row r="78" spans="1:11" s="50" customFormat="1" x14ac:dyDescent="0.25">
      <c r="A78" s="89"/>
      <c r="B78" s="100"/>
      <c r="C78" s="67" t="s">
        <v>14</v>
      </c>
      <c r="D78" s="70">
        <v>0</v>
      </c>
      <c r="E78" s="51">
        <v>0</v>
      </c>
      <c r="F78" s="59"/>
      <c r="G78" s="92"/>
      <c r="H78" s="97"/>
      <c r="I78" s="89"/>
      <c r="J78" s="92"/>
      <c r="K78" s="94"/>
    </row>
    <row r="79" spans="1:11" s="50" customFormat="1" x14ac:dyDescent="0.25">
      <c r="A79" s="89"/>
      <c r="B79" s="100"/>
      <c r="C79" s="67" t="s">
        <v>16</v>
      </c>
      <c r="D79" s="70">
        <v>89947</v>
      </c>
      <c r="E79" s="47">
        <v>41932.6</v>
      </c>
      <c r="F79" s="59">
        <f>E79/D79*100</f>
        <v>46.619231325113674</v>
      </c>
      <c r="G79" s="92"/>
      <c r="H79" s="97"/>
      <c r="I79" s="89"/>
      <c r="J79" s="92"/>
      <c r="K79" s="94"/>
    </row>
    <row r="80" spans="1:11" s="50" customFormat="1" x14ac:dyDescent="0.25">
      <c r="A80" s="89"/>
      <c r="B80" s="100"/>
      <c r="C80" s="67" t="s">
        <v>15</v>
      </c>
      <c r="D80" s="70">
        <v>0</v>
      </c>
      <c r="E80" s="51">
        <v>0</v>
      </c>
      <c r="F80" s="59"/>
      <c r="G80" s="92"/>
      <c r="H80" s="97"/>
      <c r="I80" s="89"/>
      <c r="J80" s="92"/>
      <c r="K80" s="94"/>
    </row>
    <row r="81" spans="1:11" s="50" customFormat="1" ht="71.400000000000006" customHeight="1" x14ac:dyDescent="0.25">
      <c r="A81" s="90"/>
      <c r="B81" s="100"/>
      <c r="C81" s="67" t="s">
        <v>17</v>
      </c>
      <c r="D81" s="70">
        <v>0</v>
      </c>
      <c r="E81" s="51">
        <v>0</v>
      </c>
      <c r="F81" s="59"/>
      <c r="G81" s="92"/>
      <c r="H81" s="97"/>
      <c r="I81" s="90"/>
      <c r="J81" s="93"/>
      <c r="K81" s="94"/>
    </row>
    <row r="82" spans="1:11" s="50" customFormat="1" ht="15" customHeight="1" x14ac:dyDescent="0.25">
      <c r="A82" s="88" t="s">
        <v>96</v>
      </c>
      <c r="B82" s="88" t="s">
        <v>100</v>
      </c>
      <c r="C82" s="67" t="s">
        <v>13</v>
      </c>
      <c r="D82" s="70">
        <f t="shared" ref="D82" si="17">D83+D84+D85+D86</f>
        <v>101912.1</v>
      </c>
      <c r="E82" s="47">
        <f t="shared" ref="E82" si="18">E83+E84+E85+E86</f>
        <v>35893.635999999999</v>
      </c>
      <c r="F82" s="59">
        <f>E82/D82*100</f>
        <v>35.220190732994411</v>
      </c>
      <c r="G82" s="94"/>
      <c r="H82" s="98"/>
      <c r="I82" s="88" t="s">
        <v>81</v>
      </c>
      <c r="J82" s="91" t="s">
        <v>87</v>
      </c>
      <c r="K82" s="94"/>
    </row>
    <row r="83" spans="1:11" s="50" customFormat="1" x14ac:dyDescent="0.25">
      <c r="A83" s="89"/>
      <c r="B83" s="89"/>
      <c r="C83" s="67" t="s">
        <v>14</v>
      </c>
      <c r="D83" s="70">
        <v>0</v>
      </c>
      <c r="E83" s="51"/>
      <c r="F83" s="59"/>
      <c r="G83" s="94"/>
      <c r="H83" s="98"/>
      <c r="I83" s="89"/>
      <c r="J83" s="92"/>
      <c r="K83" s="94"/>
    </row>
    <row r="84" spans="1:11" s="50" customFormat="1" x14ac:dyDescent="0.25">
      <c r="A84" s="89"/>
      <c r="B84" s="89"/>
      <c r="C84" s="67" t="s">
        <v>16</v>
      </c>
      <c r="D84" s="70">
        <v>101912.1</v>
      </c>
      <c r="E84" s="47">
        <v>35893.635999999999</v>
      </c>
      <c r="F84" s="59">
        <f>E84/D84*100</f>
        <v>35.220190732994411</v>
      </c>
      <c r="G84" s="94"/>
      <c r="H84" s="98"/>
      <c r="I84" s="89"/>
      <c r="J84" s="92"/>
      <c r="K84" s="94"/>
    </row>
    <row r="85" spans="1:11" s="50" customFormat="1" x14ac:dyDescent="0.25">
      <c r="A85" s="89"/>
      <c r="B85" s="89"/>
      <c r="C85" s="67" t="s">
        <v>15</v>
      </c>
      <c r="D85" s="70">
        <v>0</v>
      </c>
      <c r="E85" s="51">
        <v>0</v>
      </c>
      <c r="F85" s="59"/>
      <c r="G85" s="94"/>
      <c r="H85" s="98"/>
      <c r="I85" s="89"/>
      <c r="J85" s="92"/>
      <c r="K85" s="94"/>
    </row>
    <row r="86" spans="1:11" s="50" customFormat="1" ht="37.950000000000003" customHeight="1" x14ac:dyDescent="0.25">
      <c r="A86" s="90"/>
      <c r="B86" s="90"/>
      <c r="C86" s="67" t="s">
        <v>17</v>
      </c>
      <c r="D86" s="70">
        <v>0</v>
      </c>
      <c r="E86" s="51">
        <v>0</v>
      </c>
      <c r="F86" s="59"/>
      <c r="G86" s="95"/>
      <c r="H86" s="99"/>
      <c r="I86" s="90"/>
      <c r="J86" s="93"/>
      <c r="K86" s="95"/>
    </row>
    <row r="87" spans="1:11" s="50" customFormat="1" ht="13.95" customHeight="1" x14ac:dyDescent="0.25">
      <c r="A87" s="104" t="s">
        <v>51</v>
      </c>
      <c r="B87" s="104" t="s">
        <v>106</v>
      </c>
      <c r="C87" s="66" t="s">
        <v>13</v>
      </c>
      <c r="D87" s="69">
        <f t="shared" ref="D87" si="19">SUM(D88:D91)</f>
        <v>516620.7</v>
      </c>
      <c r="E87" s="43">
        <f>E88+E89+E90</f>
        <v>142738.478</v>
      </c>
      <c r="F87" s="57">
        <f>E87/D87*100</f>
        <v>27.629260306449201</v>
      </c>
      <c r="G87" s="109"/>
      <c r="H87" s="25" t="s">
        <v>18</v>
      </c>
      <c r="I87" s="20">
        <f>COUNTA(I92:I121)</f>
        <v>4</v>
      </c>
      <c r="J87" s="109" t="s">
        <v>146</v>
      </c>
      <c r="K87" s="109"/>
    </row>
    <row r="88" spans="1:11" s="50" customFormat="1" x14ac:dyDescent="0.25">
      <c r="A88" s="104"/>
      <c r="B88" s="104"/>
      <c r="C88" s="66" t="s">
        <v>14</v>
      </c>
      <c r="D88" s="69">
        <f t="shared" ref="D88" si="20">D93+D98+D103+D108+D113</f>
        <v>0</v>
      </c>
      <c r="E88" s="43">
        <f>E93+E98+E103+E108+E113</f>
        <v>0</v>
      </c>
      <c r="F88" s="57" t="e">
        <f>E88/D88*100</f>
        <v>#DIV/0!</v>
      </c>
      <c r="G88" s="110"/>
      <c r="H88" s="25" t="s">
        <v>19</v>
      </c>
      <c r="I88" s="20">
        <f>COUNTIF(I92:I116,"да")</f>
        <v>0</v>
      </c>
      <c r="J88" s="110"/>
      <c r="K88" s="110"/>
    </row>
    <row r="89" spans="1:11" s="50" customFormat="1" x14ac:dyDescent="0.25">
      <c r="A89" s="104"/>
      <c r="B89" s="104"/>
      <c r="C89" s="66" t="s">
        <v>16</v>
      </c>
      <c r="D89" s="69">
        <f>D94+D99+D104+D109+D114</f>
        <v>516620.7</v>
      </c>
      <c r="E89" s="43">
        <f>E94+E99+E104+E109+E114+E119</f>
        <v>142738.478</v>
      </c>
      <c r="F89" s="57">
        <f>E89/D89*100</f>
        <v>27.629260306449201</v>
      </c>
      <c r="G89" s="110"/>
      <c r="H89" s="25" t="s">
        <v>20</v>
      </c>
      <c r="I89" s="20">
        <f>COUNTIF(I92:I116,"частично")</f>
        <v>4</v>
      </c>
      <c r="J89" s="110"/>
      <c r="K89" s="110"/>
    </row>
    <row r="90" spans="1:11" s="50" customFormat="1" x14ac:dyDescent="0.25">
      <c r="A90" s="104"/>
      <c r="B90" s="104"/>
      <c r="C90" s="66" t="s">
        <v>15</v>
      </c>
      <c r="D90" s="70">
        <v>0</v>
      </c>
      <c r="E90" s="43">
        <f t="shared" ref="E90:E91" si="21">E95+E100+E105+E110+E115</f>
        <v>0</v>
      </c>
      <c r="F90" s="57"/>
      <c r="G90" s="110"/>
      <c r="H90" s="25" t="s">
        <v>21</v>
      </c>
      <c r="I90" s="20">
        <f>COUNTIF(I92:I116,"нет")</f>
        <v>0</v>
      </c>
      <c r="J90" s="110"/>
      <c r="K90" s="110"/>
    </row>
    <row r="91" spans="1:11" s="50" customFormat="1" ht="64.2" customHeight="1" x14ac:dyDescent="0.25">
      <c r="A91" s="104"/>
      <c r="B91" s="104"/>
      <c r="C91" s="66" t="s">
        <v>17</v>
      </c>
      <c r="D91" s="42">
        <v>0</v>
      </c>
      <c r="E91" s="43">
        <f t="shared" si="21"/>
        <v>0</v>
      </c>
      <c r="F91" s="57"/>
      <c r="G91" s="111"/>
      <c r="H91" s="25" t="s">
        <v>22</v>
      </c>
      <c r="I91" s="31">
        <f>I88/I87*100</f>
        <v>0</v>
      </c>
      <c r="J91" s="111"/>
      <c r="K91" s="111"/>
    </row>
    <row r="92" spans="1:11" s="50" customFormat="1" ht="15" customHeight="1" x14ac:dyDescent="0.25">
      <c r="A92" s="88" t="s">
        <v>101</v>
      </c>
      <c r="B92" s="88" t="s">
        <v>107</v>
      </c>
      <c r="C92" s="67" t="s">
        <v>13</v>
      </c>
      <c r="D92" s="70">
        <f t="shared" ref="D92" si="22">D93+D94+D95+D96</f>
        <v>2468.9</v>
      </c>
      <c r="E92" s="51">
        <f t="shared" ref="E92" si="23">E93+E94+E95+E96</f>
        <v>1029.087</v>
      </c>
      <c r="F92" s="59">
        <f>E92/D92*100</f>
        <v>41.682004131394542</v>
      </c>
      <c r="G92" s="106" t="s">
        <v>262</v>
      </c>
      <c r="H92" s="106" t="s">
        <v>263</v>
      </c>
      <c r="I92" s="88" t="s">
        <v>81</v>
      </c>
      <c r="J92" s="91" t="s">
        <v>87</v>
      </c>
      <c r="K92" s="91" t="s">
        <v>266</v>
      </c>
    </row>
    <row r="93" spans="1:11" s="50" customFormat="1" x14ac:dyDescent="0.25">
      <c r="A93" s="89"/>
      <c r="B93" s="89"/>
      <c r="C93" s="67" t="s">
        <v>14</v>
      </c>
      <c r="D93" s="70">
        <v>0</v>
      </c>
      <c r="E93" s="51"/>
      <c r="F93" s="59"/>
      <c r="G93" s="107"/>
      <c r="H93" s="107"/>
      <c r="I93" s="89"/>
      <c r="J93" s="92"/>
      <c r="K93" s="92"/>
    </row>
    <row r="94" spans="1:11" s="50" customFormat="1" x14ac:dyDescent="0.25">
      <c r="A94" s="89"/>
      <c r="B94" s="89"/>
      <c r="C94" s="67" t="s">
        <v>16</v>
      </c>
      <c r="D94" s="70">
        <v>2468.9</v>
      </c>
      <c r="E94" s="51">
        <v>1029.087</v>
      </c>
      <c r="F94" s="59">
        <f>E94/D94*100</f>
        <v>41.682004131394542</v>
      </c>
      <c r="G94" s="107"/>
      <c r="H94" s="107"/>
      <c r="I94" s="89"/>
      <c r="J94" s="92"/>
      <c r="K94" s="92"/>
    </row>
    <row r="95" spans="1:11" s="50" customFormat="1" x14ac:dyDescent="0.25">
      <c r="A95" s="89"/>
      <c r="B95" s="89"/>
      <c r="C95" s="67" t="s">
        <v>15</v>
      </c>
      <c r="D95" s="70">
        <v>0</v>
      </c>
      <c r="E95" s="51">
        <v>0</v>
      </c>
      <c r="F95" s="59"/>
      <c r="G95" s="107"/>
      <c r="H95" s="107"/>
      <c r="I95" s="89"/>
      <c r="J95" s="92"/>
      <c r="K95" s="92"/>
    </row>
    <row r="96" spans="1:11" s="50" customFormat="1" ht="70.5" customHeight="1" x14ac:dyDescent="0.25">
      <c r="A96" s="90"/>
      <c r="B96" s="90"/>
      <c r="C96" s="67" t="s">
        <v>17</v>
      </c>
      <c r="D96" s="70">
        <v>0</v>
      </c>
      <c r="E96" s="51">
        <v>0</v>
      </c>
      <c r="F96" s="59"/>
      <c r="G96" s="108"/>
      <c r="H96" s="108"/>
      <c r="I96" s="90"/>
      <c r="J96" s="93"/>
      <c r="K96" s="93"/>
    </row>
    <row r="97" spans="1:11" s="50" customFormat="1" ht="15" customHeight="1" x14ac:dyDescent="0.25">
      <c r="A97" s="88" t="s">
        <v>102</v>
      </c>
      <c r="B97" s="88" t="s">
        <v>108</v>
      </c>
      <c r="C97" s="67" t="s">
        <v>13</v>
      </c>
      <c r="D97" s="70">
        <f t="shared" ref="D97" si="24">D98+D99+D100+D101</f>
        <v>17059.5</v>
      </c>
      <c r="E97" s="51">
        <f t="shared" ref="E97" si="25">E98+E99+E100+E101</f>
        <v>8621.991</v>
      </c>
      <c r="F97" s="59">
        <f>E97/D97*100</f>
        <v>50.540701661830653</v>
      </c>
      <c r="G97" s="106" t="s">
        <v>264</v>
      </c>
      <c r="H97" s="124" t="s">
        <v>265</v>
      </c>
      <c r="I97" s="88" t="s">
        <v>81</v>
      </c>
      <c r="J97" s="91" t="s">
        <v>87</v>
      </c>
      <c r="K97" s="91"/>
    </row>
    <row r="98" spans="1:11" s="50" customFormat="1" x14ac:dyDescent="0.25">
      <c r="A98" s="89"/>
      <c r="B98" s="89"/>
      <c r="C98" s="67" t="s">
        <v>14</v>
      </c>
      <c r="D98" s="70">
        <v>0</v>
      </c>
      <c r="E98" s="51"/>
      <c r="F98" s="59"/>
      <c r="G98" s="107"/>
      <c r="H98" s="125"/>
      <c r="I98" s="89"/>
      <c r="J98" s="92"/>
      <c r="K98" s="92"/>
    </row>
    <row r="99" spans="1:11" s="50" customFormat="1" x14ac:dyDescent="0.25">
      <c r="A99" s="89"/>
      <c r="B99" s="89"/>
      <c r="C99" s="67" t="s">
        <v>16</v>
      </c>
      <c r="D99" s="70">
        <v>17059.5</v>
      </c>
      <c r="E99" s="51">
        <v>8621.991</v>
      </c>
      <c r="F99" s="59">
        <f>E99/D99*100</f>
        <v>50.540701661830653</v>
      </c>
      <c r="G99" s="107"/>
      <c r="H99" s="125"/>
      <c r="I99" s="89"/>
      <c r="J99" s="92"/>
      <c r="K99" s="92"/>
    </row>
    <row r="100" spans="1:11" s="50" customFormat="1" x14ac:dyDescent="0.25">
      <c r="A100" s="89"/>
      <c r="B100" s="89"/>
      <c r="C100" s="67" t="s">
        <v>15</v>
      </c>
      <c r="D100" s="70">
        <v>0</v>
      </c>
      <c r="E100" s="51">
        <f>E105+E110+E120</f>
        <v>0</v>
      </c>
      <c r="F100" s="59"/>
      <c r="G100" s="107"/>
      <c r="H100" s="125"/>
      <c r="I100" s="89"/>
      <c r="J100" s="92"/>
      <c r="K100" s="92"/>
    </row>
    <row r="101" spans="1:11" s="50" customFormat="1" ht="78" customHeight="1" x14ac:dyDescent="0.25">
      <c r="A101" s="90"/>
      <c r="B101" s="90"/>
      <c r="C101" s="67" t="s">
        <v>17</v>
      </c>
      <c r="D101" s="70">
        <v>0</v>
      </c>
      <c r="E101" s="51">
        <f>E106+E111+E121</f>
        <v>0</v>
      </c>
      <c r="F101" s="59"/>
      <c r="G101" s="108"/>
      <c r="H101" s="126"/>
      <c r="I101" s="90"/>
      <c r="J101" s="93"/>
      <c r="K101" s="93"/>
    </row>
    <row r="102" spans="1:11" s="50" customFormat="1" ht="15" customHeight="1" x14ac:dyDescent="0.25">
      <c r="A102" s="136" t="s">
        <v>103</v>
      </c>
      <c r="B102" s="88" t="s">
        <v>109</v>
      </c>
      <c r="C102" s="67" t="s">
        <v>13</v>
      </c>
      <c r="D102" s="69">
        <f t="shared" ref="D102" si="26">D103+D104+D105+D106</f>
        <v>484941.5</v>
      </c>
      <c r="E102" s="51">
        <f t="shared" ref="E102" si="27">E103+E104+E105+E106</f>
        <v>125810.55</v>
      </c>
      <c r="F102" s="59">
        <f>E102/D102*100</f>
        <v>25.943448848984879</v>
      </c>
      <c r="G102" s="106" t="s">
        <v>267</v>
      </c>
      <c r="H102" s="124" t="s">
        <v>292</v>
      </c>
      <c r="I102" s="88" t="s">
        <v>81</v>
      </c>
      <c r="J102" s="91" t="s">
        <v>88</v>
      </c>
      <c r="K102" s="91" t="s">
        <v>268</v>
      </c>
    </row>
    <row r="103" spans="1:11" s="50" customFormat="1" x14ac:dyDescent="0.25">
      <c r="A103" s="89"/>
      <c r="B103" s="89"/>
      <c r="C103" s="67" t="s">
        <v>14</v>
      </c>
      <c r="D103" s="70">
        <v>0</v>
      </c>
      <c r="E103" s="51">
        <v>0</v>
      </c>
      <c r="F103" s="59"/>
      <c r="G103" s="107"/>
      <c r="H103" s="102"/>
      <c r="I103" s="89"/>
      <c r="J103" s="92"/>
      <c r="K103" s="92"/>
    </row>
    <row r="104" spans="1:11" s="50" customFormat="1" x14ac:dyDescent="0.25">
      <c r="A104" s="89"/>
      <c r="B104" s="89"/>
      <c r="C104" s="67" t="s">
        <v>16</v>
      </c>
      <c r="D104" s="69">
        <v>484941.5</v>
      </c>
      <c r="E104" s="51">
        <v>125810.55</v>
      </c>
      <c r="F104" s="59">
        <f>E104/D104*100</f>
        <v>25.943448848984879</v>
      </c>
      <c r="G104" s="107"/>
      <c r="H104" s="102"/>
      <c r="I104" s="89"/>
      <c r="J104" s="92"/>
      <c r="K104" s="92"/>
    </row>
    <row r="105" spans="1:11" s="50" customFormat="1" x14ac:dyDescent="0.25">
      <c r="A105" s="89"/>
      <c r="B105" s="89"/>
      <c r="C105" s="67" t="s">
        <v>15</v>
      </c>
      <c r="D105" s="70">
        <v>0</v>
      </c>
      <c r="E105" s="51">
        <v>0</v>
      </c>
      <c r="F105" s="59"/>
      <c r="G105" s="107"/>
      <c r="H105" s="102"/>
      <c r="I105" s="89"/>
      <c r="J105" s="92"/>
      <c r="K105" s="92"/>
    </row>
    <row r="106" spans="1:11" s="50" customFormat="1" ht="231" customHeight="1" x14ac:dyDescent="0.25">
      <c r="A106" s="90"/>
      <c r="B106" s="90"/>
      <c r="C106" s="67" t="s">
        <v>17</v>
      </c>
      <c r="D106" s="42">
        <v>0</v>
      </c>
      <c r="E106" s="51">
        <v>0</v>
      </c>
      <c r="F106" s="59"/>
      <c r="G106" s="108"/>
      <c r="H106" s="103"/>
      <c r="I106" s="90"/>
      <c r="J106" s="93"/>
      <c r="K106" s="93"/>
    </row>
    <row r="107" spans="1:11" s="50" customFormat="1" ht="15" customHeight="1" x14ac:dyDescent="0.25">
      <c r="A107" s="88" t="s">
        <v>104</v>
      </c>
      <c r="B107" s="88" t="s">
        <v>110</v>
      </c>
      <c r="C107" s="67" t="s">
        <v>13</v>
      </c>
      <c r="D107" s="70">
        <f t="shared" ref="D107" si="28">D108</f>
        <v>0</v>
      </c>
      <c r="E107" s="51">
        <f t="shared" ref="E107" si="29">E108+E109+E110+E111</f>
        <v>0</v>
      </c>
      <c r="F107" s="59" t="e">
        <f>E107/D107*100</f>
        <v>#DIV/0!</v>
      </c>
      <c r="G107" s="130" t="s">
        <v>269</v>
      </c>
      <c r="H107" s="124" t="s">
        <v>291</v>
      </c>
      <c r="I107" s="88"/>
      <c r="J107" s="91" t="s">
        <v>89</v>
      </c>
      <c r="K107" s="91"/>
    </row>
    <row r="108" spans="1:11" s="50" customFormat="1" x14ac:dyDescent="0.25">
      <c r="A108" s="89"/>
      <c r="B108" s="89"/>
      <c r="C108" s="67" t="s">
        <v>14</v>
      </c>
      <c r="D108" s="70">
        <v>0</v>
      </c>
      <c r="E108" s="51">
        <v>0</v>
      </c>
      <c r="F108" s="59" t="e">
        <f>E108/D108*100</f>
        <v>#DIV/0!</v>
      </c>
      <c r="G108" s="131"/>
      <c r="H108" s="102"/>
      <c r="I108" s="89"/>
      <c r="J108" s="92"/>
      <c r="K108" s="92"/>
    </row>
    <row r="109" spans="1:11" s="50" customFormat="1" x14ac:dyDescent="0.25">
      <c r="A109" s="89"/>
      <c r="B109" s="89"/>
      <c r="C109" s="67" t="s">
        <v>16</v>
      </c>
      <c r="D109" s="70">
        <v>0</v>
      </c>
      <c r="E109" s="51">
        <v>0</v>
      </c>
      <c r="F109" s="59"/>
      <c r="G109" s="131"/>
      <c r="H109" s="102"/>
      <c r="I109" s="89"/>
      <c r="J109" s="92"/>
      <c r="K109" s="92"/>
    </row>
    <row r="110" spans="1:11" s="50" customFormat="1" x14ac:dyDescent="0.25">
      <c r="A110" s="89"/>
      <c r="B110" s="89"/>
      <c r="C110" s="67" t="s">
        <v>15</v>
      </c>
      <c r="D110" s="70">
        <v>0</v>
      </c>
      <c r="E110" s="51">
        <v>0</v>
      </c>
      <c r="F110" s="59"/>
      <c r="G110" s="131"/>
      <c r="H110" s="102"/>
      <c r="I110" s="89"/>
      <c r="J110" s="92"/>
      <c r="K110" s="92"/>
    </row>
    <row r="111" spans="1:11" s="50" customFormat="1" x14ac:dyDescent="0.25">
      <c r="A111" s="90"/>
      <c r="B111" s="90"/>
      <c r="C111" s="67" t="s">
        <v>17</v>
      </c>
      <c r="D111" s="70">
        <v>0</v>
      </c>
      <c r="E111" s="51">
        <v>0</v>
      </c>
      <c r="F111" s="59"/>
      <c r="G111" s="131"/>
      <c r="H111" s="102"/>
      <c r="I111" s="90"/>
      <c r="J111" s="93"/>
      <c r="K111" s="93"/>
    </row>
    <row r="112" spans="1:11" s="50" customFormat="1" x14ac:dyDescent="0.25">
      <c r="A112" s="88" t="s">
        <v>105</v>
      </c>
      <c r="B112" s="88" t="s">
        <v>111</v>
      </c>
      <c r="C112" s="67" t="s">
        <v>13</v>
      </c>
      <c r="D112" s="70">
        <f>D113+D114</f>
        <v>12150.8</v>
      </c>
      <c r="E112" s="51">
        <f>E113+E114+E115+E116</f>
        <v>7276.85</v>
      </c>
      <c r="F112" s="59">
        <f>E112/D112*100</f>
        <v>59.887826315962741</v>
      </c>
      <c r="G112" s="131"/>
      <c r="H112" s="102"/>
      <c r="I112" s="88" t="s">
        <v>81</v>
      </c>
      <c r="J112" s="91" t="s">
        <v>89</v>
      </c>
      <c r="K112" s="91"/>
    </row>
    <row r="113" spans="1:11" s="50" customFormat="1" x14ac:dyDescent="0.25">
      <c r="A113" s="89"/>
      <c r="B113" s="89"/>
      <c r="C113" s="67" t="s">
        <v>14</v>
      </c>
      <c r="D113" s="70">
        <v>0</v>
      </c>
      <c r="E113" s="51">
        <v>0</v>
      </c>
      <c r="F113" s="59"/>
      <c r="G113" s="131"/>
      <c r="H113" s="102"/>
      <c r="I113" s="89"/>
      <c r="J113" s="92"/>
      <c r="K113" s="92"/>
    </row>
    <row r="114" spans="1:11" s="50" customFormat="1" x14ac:dyDescent="0.25">
      <c r="A114" s="89"/>
      <c r="B114" s="89"/>
      <c r="C114" s="67" t="s">
        <v>16</v>
      </c>
      <c r="D114" s="70">
        <v>12150.8</v>
      </c>
      <c r="E114" s="51">
        <v>7276.85</v>
      </c>
      <c r="F114" s="59">
        <f>E114/D114*100</f>
        <v>59.887826315962741</v>
      </c>
      <c r="G114" s="131"/>
      <c r="H114" s="102"/>
      <c r="I114" s="89"/>
      <c r="J114" s="92"/>
      <c r="K114" s="92"/>
    </row>
    <row r="115" spans="1:11" s="50" customFormat="1" x14ac:dyDescent="0.25">
      <c r="A115" s="89"/>
      <c r="B115" s="89"/>
      <c r="C115" s="67" t="s">
        <v>15</v>
      </c>
      <c r="D115" s="70">
        <v>0</v>
      </c>
      <c r="E115" s="51">
        <v>0</v>
      </c>
      <c r="F115" s="59"/>
      <c r="G115" s="131"/>
      <c r="H115" s="102"/>
      <c r="I115" s="89"/>
      <c r="J115" s="92"/>
      <c r="K115" s="92"/>
    </row>
    <row r="116" spans="1:11" s="50" customFormat="1" ht="160.5" customHeight="1" x14ac:dyDescent="0.25">
      <c r="A116" s="90"/>
      <c r="B116" s="90"/>
      <c r="C116" s="67" t="s">
        <v>17</v>
      </c>
      <c r="D116" s="43">
        <v>0</v>
      </c>
      <c r="E116" s="51">
        <v>0</v>
      </c>
      <c r="F116" s="59"/>
      <c r="G116" s="131"/>
      <c r="H116" s="102"/>
      <c r="I116" s="90"/>
      <c r="J116" s="93"/>
      <c r="K116" s="93"/>
    </row>
    <row r="117" spans="1:11" s="50" customFormat="1" x14ac:dyDescent="0.25">
      <c r="A117" s="88" t="s">
        <v>230</v>
      </c>
      <c r="B117" s="88" t="s">
        <v>231</v>
      </c>
      <c r="C117" s="67" t="s">
        <v>13</v>
      </c>
      <c r="D117" s="44">
        <f t="shared" ref="D117" si="30">D118+D119+D120+D121</f>
        <v>0</v>
      </c>
      <c r="E117" s="51">
        <f>E118+E119+E120+E121</f>
        <v>0</v>
      </c>
      <c r="F117" s="59" t="e">
        <f>E117/D117*100</f>
        <v>#DIV/0!</v>
      </c>
      <c r="G117" s="132"/>
      <c r="H117" s="134"/>
      <c r="I117" s="88"/>
      <c r="J117" s="91" t="s">
        <v>89</v>
      </c>
      <c r="K117" s="65"/>
    </row>
    <row r="118" spans="1:11" s="50" customFormat="1" x14ac:dyDescent="0.25">
      <c r="A118" s="89"/>
      <c r="B118" s="89"/>
      <c r="C118" s="67" t="s">
        <v>14</v>
      </c>
      <c r="D118" s="44">
        <v>0</v>
      </c>
      <c r="E118" s="51">
        <v>0</v>
      </c>
      <c r="F118" s="59"/>
      <c r="G118" s="132"/>
      <c r="H118" s="134"/>
      <c r="I118" s="89"/>
      <c r="J118" s="92"/>
      <c r="K118" s="65"/>
    </row>
    <row r="119" spans="1:11" s="50" customFormat="1" x14ac:dyDescent="0.25">
      <c r="A119" s="89"/>
      <c r="B119" s="89"/>
      <c r="C119" s="67" t="s">
        <v>16</v>
      </c>
      <c r="D119" s="44">
        <v>0</v>
      </c>
      <c r="E119" s="51">
        <v>0</v>
      </c>
      <c r="F119" s="59" t="e">
        <f>E119/D119*100</f>
        <v>#DIV/0!</v>
      </c>
      <c r="G119" s="132"/>
      <c r="H119" s="134"/>
      <c r="I119" s="89"/>
      <c r="J119" s="92"/>
      <c r="K119" s="65"/>
    </row>
    <row r="120" spans="1:11" s="50" customFormat="1" x14ac:dyDescent="0.25">
      <c r="A120" s="89"/>
      <c r="B120" s="89"/>
      <c r="C120" s="67" t="s">
        <v>15</v>
      </c>
      <c r="D120" s="44">
        <v>0</v>
      </c>
      <c r="E120" s="51">
        <v>0</v>
      </c>
      <c r="F120" s="59"/>
      <c r="G120" s="132"/>
      <c r="H120" s="134"/>
      <c r="I120" s="89"/>
      <c r="J120" s="92"/>
      <c r="K120" s="65"/>
    </row>
    <row r="121" spans="1:11" s="50" customFormat="1" ht="182.25" customHeight="1" x14ac:dyDescent="0.25">
      <c r="A121" s="90"/>
      <c r="B121" s="90"/>
      <c r="C121" s="67" t="s">
        <v>17</v>
      </c>
      <c r="D121" s="44">
        <v>0</v>
      </c>
      <c r="E121" s="51">
        <v>0</v>
      </c>
      <c r="F121" s="59"/>
      <c r="G121" s="133"/>
      <c r="H121" s="135"/>
      <c r="I121" s="90"/>
      <c r="J121" s="93"/>
      <c r="K121" s="65"/>
    </row>
    <row r="122" spans="1:11" s="37" customFormat="1" x14ac:dyDescent="0.25">
      <c r="A122" s="113" t="s">
        <v>27</v>
      </c>
      <c r="B122" s="113" t="s">
        <v>117</v>
      </c>
      <c r="C122" s="68" t="s">
        <v>13</v>
      </c>
      <c r="D122" s="84">
        <f t="shared" ref="D122" si="31">SUM(D123:D126)</f>
        <v>90436.200000000012</v>
      </c>
      <c r="E122" s="55">
        <f>E123+E124+E125+E126</f>
        <v>45263.754999999997</v>
      </c>
      <c r="F122" s="56">
        <f>E122/D122*100</f>
        <v>50.050483103005206</v>
      </c>
      <c r="G122" s="117"/>
      <c r="H122" s="29" t="s">
        <v>18</v>
      </c>
      <c r="I122" s="21">
        <f>I127+I152+I172+I197+I207+I217+I227</f>
        <v>15</v>
      </c>
      <c r="J122" s="117" t="s">
        <v>251</v>
      </c>
      <c r="K122" s="117"/>
    </row>
    <row r="123" spans="1:11" s="37" customFormat="1" x14ac:dyDescent="0.25">
      <c r="A123" s="113"/>
      <c r="B123" s="113"/>
      <c r="C123" s="68" t="s">
        <v>14</v>
      </c>
      <c r="D123" s="82">
        <f t="shared" ref="D123:D124" si="32">D128+D153+D173+D218+D208+D228+D198</f>
        <v>61481.3</v>
      </c>
      <c r="E123" s="55">
        <f>E128+E153+E173+E198+E208+E218+E228</f>
        <v>32979.464999999997</v>
      </c>
      <c r="F123" s="56">
        <f>E123/D123*100</f>
        <v>53.641456833215948</v>
      </c>
      <c r="G123" s="118"/>
      <c r="H123" s="29" t="s">
        <v>19</v>
      </c>
      <c r="I123" s="21">
        <f>I128+I153+I173+I198+I208+I218+I228</f>
        <v>2</v>
      </c>
      <c r="J123" s="118"/>
      <c r="K123" s="118"/>
    </row>
    <row r="124" spans="1:11" s="37" customFormat="1" x14ac:dyDescent="0.25">
      <c r="A124" s="113"/>
      <c r="B124" s="113"/>
      <c r="C124" s="68" t="s">
        <v>16</v>
      </c>
      <c r="D124" s="82">
        <f t="shared" si="32"/>
        <v>28954.9</v>
      </c>
      <c r="E124" s="55">
        <f>E129+E154+E174+E199+E209+E219+E229</f>
        <v>12284.289999999999</v>
      </c>
      <c r="F124" s="56">
        <f>E124/D124*100</f>
        <v>42.425599812121604</v>
      </c>
      <c r="G124" s="118"/>
      <c r="H124" s="29" t="s">
        <v>20</v>
      </c>
      <c r="I124" s="21">
        <f>I129+I154+I174+I199+I209+I219+I229</f>
        <v>11</v>
      </c>
      <c r="J124" s="118"/>
      <c r="K124" s="118"/>
    </row>
    <row r="125" spans="1:11" s="37" customFormat="1" x14ac:dyDescent="0.25">
      <c r="A125" s="113"/>
      <c r="B125" s="113"/>
      <c r="C125" s="68" t="s">
        <v>15</v>
      </c>
      <c r="D125" s="55">
        <f t="shared" ref="D125:D126" si="33">D130+D155+D175+D220+D210</f>
        <v>0</v>
      </c>
      <c r="E125" s="55">
        <f>E130+E155+E175+E200+E210+E220+E230</f>
        <v>0</v>
      </c>
      <c r="F125" s="56"/>
      <c r="G125" s="118"/>
      <c r="H125" s="29" t="s">
        <v>21</v>
      </c>
      <c r="I125" s="21">
        <f>I130+I155+I175+I200+I210+I220+I230</f>
        <v>2</v>
      </c>
      <c r="J125" s="118"/>
      <c r="K125" s="118"/>
    </row>
    <row r="126" spans="1:11" s="37" customFormat="1" ht="63" customHeight="1" x14ac:dyDescent="0.25">
      <c r="A126" s="113"/>
      <c r="B126" s="113"/>
      <c r="C126" s="68" t="s">
        <v>17</v>
      </c>
      <c r="D126" s="55">
        <f t="shared" si="33"/>
        <v>0</v>
      </c>
      <c r="E126" s="55">
        <f>E131+E156+E176+E201+E211+E221+E231</f>
        <v>0</v>
      </c>
      <c r="F126" s="56"/>
      <c r="G126" s="119"/>
      <c r="H126" s="29" t="s">
        <v>22</v>
      </c>
      <c r="I126" s="30">
        <f>I123/I122*100</f>
        <v>13.333333333333334</v>
      </c>
      <c r="J126" s="119"/>
      <c r="K126" s="119"/>
    </row>
    <row r="127" spans="1:11" ht="13.95" customHeight="1" x14ac:dyDescent="0.25">
      <c r="A127" s="104" t="s">
        <v>30</v>
      </c>
      <c r="B127" s="104" t="s">
        <v>238</v>
      </c>
      <c r="C127" s="66" t="s">
        <v>13</v>
      </c>
      <c r="D127" s="45">
        <f t="shared" ref="D127:D129" si="34">D132+D137+D147+D142</f>
        <v>54362.5</v>
      </c>
      <c r="E127" s="43">
        <f>E128+E129+E130+E131</f>
        <v>29854.85</v>
      </c>
      <c r="F127" s="57">
        <f>E127/D127*100</f>
        <v>54.918096114049206</v>
      </c>
      <c r="G127" s="105"/>
      <c r="H127" s="25" t="s">
        <v>18</v>
      </c>
      <c r="I127" s="20">
        <f>COUNTA(I132:I151)</f>
        <v>4</v>
      </c>
      <c r="J127" s="91" t="s">
        <v>252</v>
      </c>
      <c r="K127" s="105"/>
    </row>
    <row r="128" spans="1:11" x14ac:dyDescent="0.25">
      <c r="A128" s="104"/>
      <c r="B128" s="104"/>
      <c r="C128" s="66" t="s">
        <v>14</v>
      </c>
      <c r="D128" s="45">
        <f t="shared" si="34"/>
        <v>54362.5</v>
      </c>
      <c r="E128" s="43">
        <f>E133+E138+E143+E148</f>
        <v>29854.85</v>
      </c>
      <c r="F128" s="57">
        <f>E128/D128*100</f>
        <v>54.918096114049206</v>
      </c>
      <c r="G128" s="105"/>
      <c r="H128" s="25" t="s">
        <v>19</v>
      </c>
      <c r="I128" s="20">
        <f>COUNTIF(I132:I151,"да")</f>
        <v>1</v>
      </c>
      <c r="J128" s="92"/>
      <c r="K128" s="105"/>
    </row>
    <row r="129" spans="1:11" x14ac:dyDescent="0.25">
      <c r="A129" s="104"/>
      <c r="B129" s="104"/>
      <c r="C129" s="66" t="s">
        <v>16</v>
      </c>
      <c r="D129" s="43">
        <f t="shared" si="34"/>
        <v>0</v>
      </c>
      <c r="E129" s="43">
        <f>E144</f>
        <v>0</v>
      </c>
      <c r="F129" s="57"/>
      <c r="G129" s="105"/>
      <c r="H129" s="25" t="s">
        <v>20</v>
      </c>
      <c r="I129" s="20">
        <f>COUNTIF(I132:J151,"частично")</f>
        <v>3</v>
      </c>
      <c r="J129" s="92"/>
      <c r="K129" s="105"/>
    </row>
    <row r="130" spans="1:11" x14ac:dyDescent="0.25">
      <c r="A130" s="104"/>
      <c r="B130" s="104"/>
      <c r="C130" s="66" t="s">
        <v>15</v>
      </c>
      <c r="D130" s="43">
        <v>0</v>
      </c>
      <c r="E130" s="43">
        <f t="shared" ref="E130:E131" si="35">E135+E140+E145+E150</f>
        <v>0</v>
      </c>
      <c r="F130" s="57"/>
      <c r="G130" s="105"/>
      <c r="H130" s="25" t="s">
        <v>21</v>
      </c>
      <c r="I130" s="20">
        <f>COUNTIF(I132:I151,"нет")</f>
        <v>0</v>
      </c>
      <c r="J130" s="92"/>
      <c r="K130" s="105"/>
    </row>
    <row r="131" spans="1:11" x14ac:dyDescent="0.25">
      <c r="A131" s="104"/>
      <c r="B131" s="104"/>
      <c r="C131" s="66" t="s">
        <v>17</v>
      </c>
      <c r="D131" s="42">
        <v>0</v>
      </c>
      <c r="E131" s="43">
        <f t="shared" si="35"/>
        <v>0</v>
      </c>
      <c r="F131" s="57"/>
      <c r="G131" s="105"/>
      <c r="H131" s="25" t="s">
        <v>22</v>
      </c>
      <c r="I131" s="31">
        <f>I128/I127*100</f>
        <v>25</v>
      </c>
      <c r="J131" s="93"/>
      <c r="K131" s="105"/>
    </row>
    <row r="132" spans="1:11" ht="15" customHeight="1" x14ac:dyDescent="0.25">
      <c r="A132" s="100" t="s">
        <v>28</v>
      </c>
      <c r="B132" s="88" t="s">
        <v>273</v>
      </c>
      <c r="C132" s="67" t="s">
        <v>13</v>
      </c>
      <c r="D132" s="46">
        <f t="shared" ref="D132" si="36">SUM(D133:D136)</f>
        <v>3060.9</v>
      </c>
      <c r="E132" s="58">
        <f>E133+E134+E135+E136</f>
        <v>901</v>
      </c>
      <c r="F132" s="59">
        <f>E132/D132*100</f>
        <v>29.435786860073833</v>
      </c>
      <c r="G132" s="101" t="s">
        <v>232</v>
      </c>
      <c r="H132" s="101" t="s">
        <v>305</v>
      </c>
      <c r="I132" s="88" t="s">
        <v>81</v>
      </c>
      <c r="J132" s="91" t="s">
        <v>254</v>
      </c>
      <c r="K132" s="91"/>
    </row>
    <row r="133" spans="1:11" x14ac:dyDescent="0.25">
      <c r="A133" s="100"/>
      <c r="B133" s="89"/>
      <c r="C133" s="67" t="s">
        <v>14</v>
      </c>
      <c r="D133" s="46">
        <v>3060.9</v>
      </c>
      <c r="E133" s="58">
        <v>901</v>
      </c>
      <c r="F133" s="59">
        <f>E133/D133*100</f>
        <v>29.435786860073833</v>
      </c>
      <c r="G133" s="102"/>
      <c r="H133" s="102"/>
      <c r="I133" s="89"/>
      <c r="J133" s="92"/>
      <c r="K133" s="92"/>
    </row>
    <row r="134" spans="1:11" x14ac:dyDescent="0.25">
      <c r="A134" s="100"/>
      <c r="B134" s="89"/>
      <c r="C134" s="67" t="s">
        <v>16</v>
      </c>
      <c r="D134" s="42">
        <v>0</v>
      </c>
      <c r="E134" s="58">
        <v>0</v>
      </c>
      <c r="F134" s="59"/>
      <c r="G134" s="102"/>
      <c r="H134" s="102"/>
      <c r="I134" s="89"/>
      <c r="J134" s="92"/>
      <c r="K134" s="92"/>
    </row>
    <row r="135" spans="1:11" x14ac:dyDescent="0.25">
      <c r="A135" s="100"/>
      <c r="B135" s="89"/>
      <c r="C135" s="67" t="s">
        <v>15</v>
      </c>
      <c r="D135" s="43">
        <v>0</v>
      </c>
      <c r="E135" s="58">
        <v>0</v>
      </c>
      <c r="F135" s="59"/>
      <c r="G135" s="102"/>
      <c r="H135" s="102"/>
      <c r="I135" s="89"/>
      <c r="J135" s="92"/>
      <c r="K135" s="92"/>
    </row>
    <row r="136" spans="1:11" ht="36" customHeight="1" x14ac:dyDescent="0.25">
      <c r="A136" s="100"/>
      <c r="B136" s="90"/>
      <c r="C136" s="67" t="s">
        <v>17</v>
      </c>
      <c r="D136" s="43">
        <v>0</v>
      </c>
      <c r="E136" s="58">
        <v>0</v>
      </c>
      <c r="F136" s="59"/>
      <c r="G136" s="103"/>
      <c r="H136" s="103"/>
      <c r="I136" s="90"/>
      <c r="J136" s="93"/>
      <c r="K136" s="93"/>
    </row>
    <row r="137" spans="1:11" x14ac:dyDescent="0.25">
      <c r="A137" s="100" t="s">
        <v>29</v>
      </c>
      <c r="B137" s="100" t="s">
        <v>112</v>
      </c>
      <c r="C137" s="67" t="s">
        <v>13</v>
      </c>
      <c r="D137" s="46">
        <f t="shared" ref="D137" si="37">SUM(D138:D141)</f>
        <v>345</v>
      </c>
      <c r="E137" s="58">
        <f>E138+E139+E140+E141</f>
        <v>149.12</v>
      </c>
      <c r="F137" s="59">
        <f>E137/D137*100</f>
        <v>43.223188405797103</v>
      </c>
      <c r="G137" s="101" t="s">
        <v>213</v>
      </c>
      <c r="H137" s="101" t="s">
        <v>306</v>
      </c>
      <c r="I137" s="88" t="s">
        <v>81</v>
      </c>
      <c r="J137" s="91" t="s">
        <v>250</v>
      </c>
      <c r="K137" s="91"/>
    </row>
    <row r="138" spans="1:11" x14ac:dyDescent="0.25">
      <c r="A138" s="100"/>
      <c r="B138" s="100"/>
      <c r="C138" s="67" t="s">
        <v>14</v>
      </c>
      <c r="D138" s="69">
        <v>345</v>
      </c>
      <c r="E138" s="58">
        <v>149.12</v>
      </c>
      <c r="F138" s="59">
        <f>E138/D138*100</f>
        <v>43.223188405797103</v>
      </c>
      <c r="G138" s="102"/>
      <c r="H138" s="102"/>
      <c r="I138" s="89"/>
      <c r="J138" s="92"/>
      <c r="K138" s="92"/>
    </row>
    <row r="139" spans="1:11" x14ac:dyDescent="0.25">
      <c r="A139" s="100"/>
      <c r="B139" s="100"/>
      <c r="C139" s="67" t="s">
        <v>16</v>
      </c>
      <c r="D139" s="42">
        <v>0</v>
      </c>
      <c r="E139" s="58">
        <v>0</v>
      </c>
      <c r="F139" s="59"/>
      <c r="G139" s="102"/>
      <c r="H139" s="102"/>
      <c r="I139" s="89"/>
      <c r="J139" s="92"/>
      <c r="K139" s="92"/>
    </row>
    <row r="140" spans="1:11" x14ac:dyDescent="0.25">
      <c r="A140" s="100"/>
      <c r="B140" s="100"/>
      <c r="C140" s="67" t="s">
        <v>15</v>
      </c>
      <c r="D140" s="43">
        <v>0</v>
      </c>
      <c r="E140" s="58">
        <v>0</v>
      </c>
      <c r="F140" s="59"/>
      <c r="G140" s="102"/>
      <c r="H140" s="102"/>
      <c r="I140" s="89"/>
      <c r="J140" s="92"/>
      <c r="K140" s="92"/>
    </row>
    <row r="141" spans="1:11" ht="82.2" customHeight="1" x14ac:dyDescent="0.25">
      <c r="A141" s="100"/>
      <c r="B141" s="100"/>
      <c r="C141" s="67" t="s">
        <v>17</v>
      </c>
      <c r="D141" s="43">
        <v>0</v>
      </c>
      <c r="E141" s="58">
        <v>0</v>
      </c>
      <c r="F141" s="59"/>
      <c r="G141" s="103"/>
      <c r="H141" s="103"/>
      <c r="I141" s="90"/>
      <c r="J141" s="93"/>
      <c r="K141" s="93"/>
    </row>
    <row r="142" spans="1:11" s="50" customFormat="1" x14ac:dyDescent="0.25">
      <c r="A142" s="100" t="s">
        <v>115</v>
      </c>
      <c r="B142" s="100" t="s">
        <v>113</v>
      </c>
      <c r="C142" s="67" t="s">
        <v>13</v>
      </c>
      <c r="D142" s="42">
        <f>D143+D144</f>
        <v>1956.6</v>
      </c>
      <c r="E142" s="58">
        <f>E143+E144</f>
        <v>2525.54</v>
      </c>
      <c r="F142" s="59">
        <f>E142/D142*100</f>
        <v>129.07799243585814</v>
      </c>
      <c r="G142" s="101" t="s">
        <v>274</v>
      </c>
      <c r="H142" s="101" t="s">
        <v>293</v>
      </c>
      <c r="I142" s="91" t="s">
        <v>210</v>
      </c>
      <c r="J142" s="91" t="s">
        <v>252</v>
      </c>
      <c r="K142" s="91"/>
    </row>
    <row r="143" spans="1:11" s="50" customFormat="1" x14ac:dyDescent="0.25">
      <c r="A143" s="100"/>
      <c r="B143" s="100"/>
      <c r="C143" s="67" t="s">
        <v>14</v>
      </c>
      <c r="D143" s="42">
        <v>1956.6</v>
      </c>
      <c r="E143" s="58">
        <v>2525.54</v>
      </c>
      <c r="F143" s="59">
        <f>E143/D143*100</f>
        <v>129.07799243585814</v>
      </c>
      <c r="G143" s="102"/>
      <c r="H143" s="102"/>
      <c r="I143" s="92"/>
      <c r="J143" s="92"/>
      <c r="K143" s="92"/>
    </row>
    <row r="144" spans="1:11" s="50" customFormat="1" x14ac:dyDescent="0.25">
      <c r="A144" s="100"/>
      <c r="B144" s="100"/>
      <c r="C144" s="67" t="s">
        <v>16</v>
      </c>
      <c r="D144" s="43">
        <v>0</v>
      </c>
      <c r="E144" s="58">
        <v>0</v>
      </c>
      <c r="F144" s="59"/>
      <c r="G144" s="102"/>
      <c r="H144" s="102"/>
      <c r="I144" s="92"/>
      <c r="J144" s="92"/>
      <c r="K144" s="92"/>
    </row>
    <row r="145" spans="1:11" s="50" customFormat="1" x14ac:dyDescent="0.25">
      <c r="A145" s="100"/>
      <c r="B145" s="100"/>
      <c r="C145" s="67" t="s">
        <v>15</v>
      </c>
      <c r="D145" s="43">
        <v>0</v>
      </c>
      <c r="E145" s="58">
        <v>0</v>
      </c>
      <c r="F145" s="59"/>
      <c r="G145" s="102"/>
      <c r="H145" s="102"/>
      <c r="I145" s="92"/>
      <c r="J145" s="92"/>
      <c r="K145" s="92"/>
    </row>
    <row r="146" spans="1:11" s="50" customFormat="1" ht="186.6" customHeight="1" x14ac:dyDescent="0.25">
      <c r="A146" s="100"/>
      <c r="B146" s="100"/>
      <c r="C146" s="67" t="s">
        <v>17</v>
      </c>
      <c r="D146" s="43">
        <v>0</v>
      </c>
      <c r="E146" s="58">
        <v>0</v>
      </c>
      <c r="F146" s="59"/>
      <c r="G146" s="103"/>
      <c r="H146" s="103"/>
      <c r="I146" s="93"/>
      <c r="J146" s="93"/>
      <c r="K146" s="93"/>
    </row>
    <row r="147" spans="1:11" s="50" customFormat="1" x14ac:dyDescent="0.25">
      <c r="A147" s="100" t="s">
        <v>116</v>
      </c>
      <c r="B147" s="100" t="s">
        <v>114</v>
      </c>
      <c r="C147" s="67" t="s">
        <v>13</v>
      </c>
      <c r="D147" s="46">
        <f t="shared" ref="D147" si="38">SUM(D148:D151)</f>
        <v>49000</v>
      </c>
      <c r="E147" s="58">
        <f>E148+E149+E150+E151</f>
        <v>26279.19</v>
      </c>
      <c r="F147" s="59">
        <f>E147/D147*100</f>
        <v>53.630999999999993</v>
      </c>
      <c r="G147" s="101" t="s">
        <v>214</v>
      </c>
      <c r="H147" s="101" t="s">
        <v>296</v>
      </c>
      <c r="I147" s="88" t="s">
        <v>81</v>
      </c>
      <c r="J147" s="91" t="s">
        <v>250</v>
      </c>
      <c r="K147" s="91"/>
    </row>
    <row r="148" spans="1:11" s="50" customFormat="1" x14ac:dyDescent="0.25">
      <c r="A148" s="100"/>
      <c r="B148" s="100"/>
      <c r="C148" s="67" t="s">
        <v>14</v>
      </c>
      <c r="D148" s="69">
        <v>49000</v>
      </c>
      <c r="E148" s="58">
        <v>26279.19</v>
      </c>
      <c r="F148" s="59">
        <f>E148/D148*100</f>
        <v>53.630999999999993</v>
      </c>
      <c r="G148" s="102"/>
      <c r="H148" s="102"/>
      <c r="I148" s="89"/>
      <c r="J148" s="92"/>
      <c r="K148" s="92"/>
    </row>
    <row r="149" spans="1:11" s="50" customFormat="1" x14ac:dyDescent="0.25">
      <c r="A149" s="100"/>
      <c r="B149" s="100"/>
      <c r="C149" s="67" t="s">
        <v>16</v>
      </c>
      <c r="D149" s="42">
        <v>0</v>
      </c>
      <c r="E149" s="58">
        <v>0</v>
      </c>
      <c r="F149" s="59"/>
      <c r="G149" s="102"/>
      <c r="H149" s="102"/>
      <c r="I149" s="89"/>
      <c r="J149" s="92"/>
      <c r="K149" s="92"/>
    </row>
    <row r="150" spans="1:11" s="50" customFormat="1" x14ac:dyDescent="0.25">
      <c r="A150" s="100"/>
      <c r="B150" s="100"/>
      <c r="C150" s="67" t="s">
        <v>15</v>
      </c>
      <c r="D150" s="43">
        <v>0</v>
      </c>
      <c r="E150" s="58">
        <v>0</v>
      </c>
      <c r="F150" s="59"/>
      <c r="G150" s="102"/>
      <c r="H150" s="102"/>
      <c r="I150" s="89"/>
      <c r="J150" s="92"/>
      <c r="K150" s="92"/>
    </row>
    <row r="151" spans="1:11" s="50" customFormat="1" ht="90" customHeight="1" x14ac:dyDescent="0.25">
      <c r="A151" s="100"/>
      <c r="B151" s="100"/>
      <c r="C151" s="67" t="s">
        <v>17</v>
      </c>
      <c r="D151" s="43">
        <v>0</v>
      </c>
      <c r="E151" s="58">
        <v>0</v>
      </c>
      <c r="F151" s="59"/>
      <c r="G151" s="103"/>
      <c r="H151" s="103"/>
      <c r="I151" s="90"/>
      <c r="J151" s="93"/>
      <c r="K151" s="93"/>
    </row>
    <row r="152" spans="1:11" s="50" customFormat="1" ht="13.95" customHeight="1" x14ac:dyDescent="0.25">
      <c r="A152" s="104" t="s">
        <v>118</v>
      </c>
      <c r="B152" s="104" t="s">
        <v>239</v>
      </c>
      <c r="C152" s="66" t="s">
        <v>13</v>
      </c>
      <c r="D152" s="69">
        <f t="shared" ref="D152" si="39">SUM(D153:D156)</f>
        <v>4062.5</v>
      </c>
      <c r="E152" s="43">
        <f>E153+E154+E155+E156</f>
        <v>1445.72</v>
      </c>
      <c r="F152" s="57">
        <f>E152/D152*100</f>
        <v>35.586953846153847</v>
      </c>
      <c r="G152" s="122"/>
      <c r="H152" s="64" t="s">
        <v>18</v>
      </c>
      <c r="I152" s="20">
        <f>COUNTA(I157:I171)</f>
        <v>3</v>
      </c>
      <c r="J152" s="109" t="s">
        <v>250</v>
      </c>
      <c r="K152" s="105"/>
    </row>
    <row r="153" spans="1:11" s="50" customFormat="1" x14ac:dyDescent="0.25">
      <c r="A153" s="104"/>
      <c r="B153" s="104"/>
      <c r="C153" s="66" t="s">
        <v>14</v>
      </c>
      <c r="D153" s="69">
        <v>4062.5</v>
      </c>
      <c r="E153" s="43">
        <f>E158+E163+E168</f>
        <v>1445.72</v>
      </c>
      <c r="F153" s="57">
        <f>E153/D153*100</f>
        <v>35.586953846153847</v>
      </c>
      <c r="G153" s="122"/>
      <c r="H153" s="64" t="s">
        <v>19</v>
      </c>
      <c r="I153" s="20">
        <f>COUNTIF(I157:I171,"да")</f>
        <v>1</v>
      </c>
      <c r="J153" s="110"/>
      <c r="K153" s="105"/>
    </row>
    <row r="154" spans="1:11" s="50" customFormat="1" x14ac:dyDescent="0.25">
      <c r="A154" s="104"/>
      <c r="B154" s="104"/>
      <c r="C154" s="66" t="s">
        <v>16</v>
      </c>
      <c r="D154" s="43">
        <v>0</v>
      </c>
      <c r="E154" s="43">
        <f t="shared" ref="E154:E156" si="40">E159+E164+E169</f>
        <v>0</v>
      </c>
      <c r="F154" s="57"/>
      <c r="G154" s="122"/>
      <c r="H154" s="64" t="s">
        <v>20</v>
      </c>
      <c r="I154" s="20">
        <f>COUNTIF(I157:I171,"частично")</f>
        <v>1</v>
      </c>
      <c r="J154" s="110"/>
      <c r="K154" s="105"/>
    </row>
    <row r="155" spans="1:11" s="50" customFormat="1" x14ac:dyDescent="0.25">
      <c r="A155" s="104"/>
      <c r="B155" s="104"/>
      <c r="C155" s="66" t="s">
        <v>15</v>
      </c>
      <c r="D155" s="43">
        <v>0</v>
      </c>
      <c r="E155" s="43">
        <f t="shared" si="40"/>
        <v>0</v>
      </c>
      <c r="F155" s="57"/>
      <c r="G155" s="122"/>
      <c r="H155" s="64" t="s">
        <v>21</v>
      </c>
      <c r="I155" s="20">
        <f>COUNTIF(I157:I171,"нет")</f>
        <v>1</v>
      </c>
      <c r="J155" s="110"/>
      <c r="K155" s="105"/>
    </row>
    <row r="156" spans="1:11" s="50" customFormat="1" x14ac:dyDescent="0.25">
      <c r="A156" s="104"/>
      <c r="B156" s="104"/>
      <c r="C156" s="66" t="s">
        <v>17</v>
      </c>
      <c r="D156" s="43">
        <v>0</v>
      </c>
      <c r="E156" s="43">
        <f t="shared" si="40"/>
        <v>0</v>
      </c>
      <c r="F156" s="57"/>
      <c r="G156" s="122"/>
      <c r="H156" s="64" t="s">
        <v>22</v>
      </c>
      <c r="I156" s="31">
        <f>I153/I152*100</f>
        <v>33.333333333333329</v>
      </c>
      <c r="J156" s="111"/>
      <c r="K156" s="105"/>
    </row>
    <row r="157" spans="1:11" s="50" customFormat="1" x14ac:dyDescent="0.25">
      <c r="A157" s="100" t="s">
        <v>121</v>
      </c>
      <c r="B157" s="100" t="s">
        <v>245</v>
      </c>
      <c r="C157" s="67" t="s">
        <v>13</v>
      </c>
      <c r="D157" s="45">
        <f t="shared" ref="D157" si="41">SUM(D158:D161)</f>
        <v>3647.5</v>
      </c>
      <c r="E157" s="58">
        <f>E158+E159+E160+E161</f>
        <v>1220.72</v>
      </c>
      <c r="F157" s="59">
        <f>E157/D157*100</f>
        <v>33.467306374228926</v>
      </c>
      <c r="G157" s="101" t="s">
        <v>236</v>
      </c>
      <c r="H157" s="101" t="s">
        <v>297</v>
      </c>
      <c r="I157" s="88" t="s">
        <v>81</v>
      </c>
      <c r="J157" s="91" t="s">
        <v>250</v>
      </c>
      <c r="K157" s="91"/>
    </row>
    <row r="158" spans="1:11" s="50" customFormat="1" x14ac:dyDescent="0.25">
      <c r="A158" s="100"/>
      <c r="B158" s="100"/>
      <c r="C158" s="67" t="s">
        <v>14</v>
      </c>
      <c r="D158" s="45">
        <v>3647.5</v>
      </c>
      <c r="E158" s="58">
        <v>1220.72</v>
      </c>
      <c r="F158" s="59">
        <f>E158/D158*100</f>
        <v>33.467306374228926</v>
      </c>
      <c r="G158" s="102"/>
      <c r="H158" s="102"/>
      <c r="I158" s="89"/>
      <c r="J158" s="92"/>
      <c r="K158" s="92"/>
    </row>
    <row r="159" spans="1:11" s="50" customFormat="1" x14ac:dyDescent="0.25">
      <c r="A159" s="100"/>
      <c r="B159" s="100"/>
      <c r="C159" s="67" t="s">
        <v>16</v>
      </c>
      <c r="D159" s="43">
        <v>0</v>
      </c>
      <c r="E159" s="58">
        <v>0</v>
      </c>
      <c r="F159" s="59"/>
      <c r="G159" s="102"/>
      <c r="H159" s="102"/>
      <c r="I159" s="89"/>
      <c r="J159" s="92"/>
      <c r="K159" s="92"/>
    </row>
    <row r="160" spans="1:11" s="50" customFormat="1" x14ac:dyDescent="0.25">
      <c r="A160" s="100"/>
      <c r="B160" s="100"/>
      <c r="C160" s="67" t="s">
        <v>15</v>
      </c>
      <c r="D160" s="43">
        <v>0</v>
      </c>
      <c r="E160" s="58">
        <v>0</v>
      </c>
      <c r="F160" s="59"/>
      <c r="G160" s="102"/>
      <c r="H160" s="102"/>
      <c r="I160" s="89"/>
      <c r="J160" s="92"/>
      <c r="K160" s="92"/>
    </row>
    <row r="161" spans="1:11" s="50" customFormat="1" ht="14.25" customHeight="1" x14ac:dyDescent="0.25">
      <c r="A161" s="100"/>
      <c r="B161" s="100"/>
      <c r="C161" s="67" t="s">
        <v>17</v>
      </c>
      <c r="D161" s="43">
        <v>0</v>
      </c>
      <c r="E161" s="58">
        <v>0</v>
      </c>
      <c r="F161" s="59"/>
      <c r="G161" s="103"/>
      <c r="H161" s="103"/>
      <c r="I161" s="90"/>
      <c r="J161" s="93"/>
      <c r="K161" s="93"/>
    </row>
    <row r="162" spans="1:11" s="50" customFormat="1" ht="13.95" customHeight="1" x14ac:dyDescent="0.25">
      <c r="A162" s="100" t="s">
        <v>119</v>
      </c>
      <c r="B162" s="100" t="s">
        <v>228</v>
      </c>
      <c r="C162" s="67" t="s">
        <v>13</v>
      </c>
      <c r="D162" s="45">
        <f t="shared" ref="D162" si="42">SUM(D163:D166)</f>
        <v>190</v>
      </c>
      <c r="E162" s="58">
        <f>E163+E164+E165+E166</f>
        <v>0</v>
      </c>
      <c r="F162" s="59">
        <f>E162/D162*100</f>
        <v>0</v>
      </c>
      <c r="G162" s="101" t="s">
        <v>237</v>
      </c>
      <c r="H162" s="101" t="s">
        <v>279</v>
      </c>
      <c r="I162" s="88" t="s">
        <v>272</v>
      </c>
      <c r="J162" s="91" t="s">
        <v>250</v>
      </c>
      <c r="K162" s="91" t="s">
        <v>279</v>
      </c>
    </row>
    <row r="163" spans="1:11" s="50" customFormat="1" x14ac:dyDescent="0.25">
      <c r="A163" s="100"/>
      <c r="B163" s="100"/>
      <c r="C163" s="67" t="s">
        <v>14</v>
      </c>
      <c r="D163" s="45">
        <v>190</v>
      </c>
      <c r="E163" s="58">
        <v>0</v>
      </c>
      <c r="F163" s="59">
        <f>E163/D163*100</f>
        <v>0</v>
      </c>
      <c r="G163" s="102"/>
      <c r="H163" s="102"/>
      <c r="I163" s="89"/>
      <c r="J163" s="92"/>
      <c r="K163" s="92"/>
    </row>
    <row r="164" spans="1:11" s="50" customFormat="1" x14ac:dyDescent="0.25">
      <c r="A164" s="100"/>
      <c r="B164" s="100"/>
      <c r="C164" s="67" t="s">
        <v>16</v>
      </c>
      <c r="D164" s="43">
        <v>0</v>
      </c>
      <c r="E164" s="58">
        <v>0</v>
      </c>
      <c r="F164" s="59"/>
      <c r="G164" s="102"/>
      <c r="H164" s="102"/>
      <c r="I164" s="89"/>
      <c r="J164" s="92"/>
      <c r="K164" s="92"/>
    </row>
    <row r="165" spans="1:11" s="50" customFormat="1" ht="12.75" customHeight="1" x14ac:dyDescent="0.25">
      <c r="A165" s="100"/>
      <c r="B165" s="100"/>
      <c r="C165" s="67" t="s">
        <v>15</v>
      </c>
      <c r="D165" s="43">
        <v>0</v>
      </c>
      <c r="E165" s="58">
        <v>0</v>
      </c>
      <c r="F165" s="59"/>
      <c r="G165" s="102"/>
      <c r="H165" s="102"/>
      <c r="I165" s="89"/>
      <c r="J165" s="92"/>
      <c r="K165" s="92"/>
    </row>
    <row r="166" spans="1:11" s="50" customFormat="1" x14ac:dyDescent="0.25">
      <c r="A166" s="100"/>
      <c r="B166" s="100"/>
      <c r="C166" s="67" t="s">
        <v>17</v>
      </c>
      <c r="D166" s="43">
        <v>0</v>
      </c>
      <c r="E166" s="58">
        <v>0</v>
      </c>
      <c r="F166" s="59"/>
      <c r="G166" s="103"/>
      <c r="H166" s="103"/>
      <c r="I166" s="90"/>
      <c r="J166" s="93"/>
      <c r="K166" s="93"/>
    </row>
    <row r="167" spans="1:11" s="50" customFormat="1" ht="13.95" customHeight="1" x14ac:dyDescent="0.25">
      <c r="A167" s="100" t="s">
        <v>120</v>
      </c>
      <c r="B167" s="100" t="s">
        <v>229</v>
      </c>
      <c r="C167" s="67" t="s">
        <v>13</v>
      </c>
      <c r="D167" s="45">
        <f t="shared" ref="D167" si="43">SUM(D168:D171)</f>
        <v>225</v>
      </c>
      <c r="E167" s="58">
        <f>E168+E169+E170+E171</f>
        <v>225</v>
      </c>
      <c r="F167" s="59">
        <f>E167/D167*100</f>
        <v>100</v>
      </c>
      <c r="G167" s="101" t="s">
        <v>280</v>
      </c>
      <c r="H167" s="101" t="s">
        <v>298</v>
      </c>
      <c r="I167" s="88" t="s">
        <v>210</v>
      </c>
      <c r="J167" s="91" t="s">
        <v>250</v>
      </c>
      <c r="K167" s="91" t="s">
        <v>281</v>
      </c>
    </row>
    <row r="168" spans="1:11" s="50" customFormat="1" x14ac:dyDescent="0.25">
      <c r="A168" s="100"/>
      <c r="B168" s="100"/>
      <c r="C168" s="67" t="s">
        <v>14</v>
      </c>
      <c r="D168" s="45">
        <v>225</v>
      </c>
      <c r="E168" s="58">
        <v>225</v>
      </c>
      <c r="F168" s="59">
        <f>E168/D168*100</f>
        <v>100</v>
      </c>
      <c r="G168" s="102"/>
      <c r="H168" s="102"/>
      <c r="I168" s="89"/>
      <c r="J168" s="92"/>
      <c r="K168" s="92"/>
    </row>
    <row r="169" spans="1:11" s="50" customFormat="1" x14ac:dyDescent="0.25">
      <c r="A169" s="100"/>
      <c r="B169" s="100"/>
      <c r="C169" s="67" t="s">
        <v>16</v>
      </c>
      <c r="D169" s="43">
        <v>0</v>
      </c>
      <c r="E169" s="58">
        <v>0</v>
      </c>
      <c r="F169" s="59"/>
      <c r="G169" s="102"/>
      <c r="H169" s="102"/>
      <c r="I169" s="89"/>
      <c r="J169" s="92"/>
      <c r="K169" s="92"/>
    </row>
    <row r="170" spans="1:11" s="50" customFormat="1" x14ac:dyDescent="0.25">
      <c r="A170" s="100"/>
      <c r="B170" s="100"/>
      <c r="C170" s="67" t="s">
        <v>15</v>
      </c>
      <c r="D170" s="43">
        <v>0</v>
      </c>
      <c r="E170" s="58">
        <v>0</v>
      </c>
      <c r="F170" s="59"/>
      <c r="G170" s="102"/>
      <c r="H170" s="102"/>
      <c r="I170" s="89"/>
      <c r="J170" s="92"/>
      <c r="K170" s="92"/>
    </row>
    <row r="171" spans="1:11" s="50" customFormat="1" ht="15" customHeight="1" x14ac:dyDescent="0.25">
      <c r="A171" s="100"/>
      <c r="B171" s="100"/>
      <c r="C171" s="67" t="s">
        <v>17</v>
      </c>
      <c r="D171" s="43">
        <v>0</v>
      </c>
      <c r="E171" s="58">
        <v>0</v>
      </c>
      <c r="F171" s="59"/>
      <c r="G171" s="103"/>
      <c r="H171" s="103"/>
      <c r="I171" s="90"/>
      <c r="J171" s="93"/>
      <c r="K171" s="93"/>
    </row>
    <row r="172" spans="1:11" s="50" customFormat="1" x14ac:dyDescent="0.25">
      <c r="A172" s="104" t="s">
        <v>122</v>
      </c>
      <c r="B172" s="104" t="s">
        <v>127</v>
      </c>
      <c r="C172" s="66" t="s">
        <v>13</v>
      </c>
      <c r="D172" s="75">
        <f t="shared" ref="D172" si="44">SUM(D173:D176)</f>
        <v>3023.3</v>
      </c>
      <c r="E172" s="43">
        <f>E173+E174+E175+E176</f>
        <v>1678.0300000000002</v>
      </c>
      <c r="F172" s="57">
        <f>E172/D172*100</f>
        <v>55.503258029305726</v>
      </c>
      <c r="G172" s="122"/>
      <c r="H172" s="64" t="s">
        <v>18</v>
      </c>
      <c r="I172" s="20">
        <f>COUNTA(I177:I196)</f>
        <v>4</v>
      </c>
      <c r="J172" s="109" t="s">
        <v>250</v>
      </c>
      <c r="K172" s="105"/>
    </row>
    <row r="173" spans="1:11" s="50" customFormat="1" x14ac:dyDescent="0.25">
      <c r="A173" s="104"/>
      <c r="B173" s="104"/>
      <c r="C173" s="66" t="s">
        <v>14</v>
      </c>
      <c r="D173" s="75">
        <v>3023.3</v>
      </c>
      <c r="E173" s="43">
        <f>E178+E183+E188+E193</f>
        <v>1678.0300000000002</v>
      </c>
      <c r="F173" s="57">
        <f>E173/D173*100</f>
        <v>55.503258029305726</v>
      </c>
      <c r="G173" s="122"/>
      <c r="H173" s="64" t="s">
        <v>19</v>
      </c>
      <c r="I173" s="20">
        <f>COUNTIF(I177:I196,"да")</f>
        <v>0</v>
      </c>
      <c r="J173" s="110"/>
      <c r="K173" s="105"/>
    </row>
    <row r="174" spans="1:11" s="50" customFormat="1" x14ac:dyDescent="0.25">
      <c r="A174" s="104"/>
      <c r="B174" s="104"/>
      <c r="C174" s="66" t="s">
        <v>16</v>
      </c>
      <c r="D174" s="43">
        <v>0</v>
      </c>
      <c r="E174" s="43">
        <f t="shared" ref="E174:E176" si="45">E179+E184+E189+E194</f>
        <v>0</v>
      </c>
      <c r="F174" s="57"/>
      <c r="G174" s="122"/>
      <c r="H174" s="64" t="s">
        <v>20</v>
      </c>
      <c r="I174" s="20">
        <f>COUNTIF(I177:I196,"частично")</f>
        <v>3</v>
      </c>
      <c r="J174" s="110"/>
      <c r="K174" s="105"/>
    </row>
    <row r="175" spans="1:11" s="50" customFormat="1" x14ac:dyDescent="0.25">
      <c r="A175" s="104"/>
      <c r="B175" s="104"/>
      <c r="C175" s="66" t="s">
        <v>15</v>
      </c>
      <c r="D175" s="43">
        <v>0</v>
      </c>
      <c r="E175" s="43">
        <f t="shared" si="45"/>
        <v>0</v>
      </c>
      <c r="F175" s="57"/>
      <c r="G175" s="122"/>
      <c r="H175" s="64" t="s">
        <v>21</v>
      </c>
      <c r="I175" s="20">
        <f>COUNTIF(I177:I196,"нет")</f>
        <v>1</v>
      </c>
      <c r="J175" s="110"/>
      <c r="K175" s="105"/>
    </row>
    <row r="176" spans="1:11" s="50" customFormat="1" x14ac:dyDescent="0.25">
      <c r="A176" s="104"/>
      <c r="B176" s="104"/>
      <c r="C176" s="66" t="s">
        <v>17</v>
      </c>
      <c r="D176" s="43">
        <v>0</v>
      </c>
      <c r="E176" s="43">
        <f t="shared" si="45"/>
        <v>0</v>
      </c>
      <c r="F176" s="57"/>
      <c r="G176" s="122"/>
      <c r="H176" s="64" t="s">
        <v>22</v>
      </c>
      <c r="I176" s="31">
        <f>I173/I172*100</f>
        <v>0</v>
      </c>
      <c r="J176" s="111"/>
      <c r="K176" s="105"/>
    </row>
    <row r="177" spans="1:11" s="50" customFormat="1" x14ac:dyDescent="0.25">
      <c r="A177" s="100" t="s">
        <v>123</v>
      </c>
      <c r="B177" s="100" t="s">
        <v>128</v>
      </c>
      <c r="C177" s="67" t="s">
        <v>13</v>
      </c>
      <c r="D177" s="75">
        <f t="shared" ref="D177" si="46">D178+D179+D180+D181</f>
        <v>2114.8000000000002</v>
      </c>
      <c r="E177" s="58">
        <f>E178+E179+E180+E181</f>
        <v>1121.26</v>
      </c>
      <c r="F177" s="59">
        <f>E177/D177*100</f>
        <v>53.019670890864376</v>
      </c>
      <c r="G177" s="101" t="s">
        <v>299</v>
      </c>
      <c r="H177" s="101" t="s">
        <v>302</v>
      </c>
      <c r="I177" s="88" t="s">
        <v>81</v>
      </c>
      <c r="J177" s="91" t="s">
        <v>250</v>
      </c>
      <c r="K177" s="91" t="s">
        <v>218</v>
      </c>
    </row>
    <row r="178" spans="1:11" s="50" customFormat="1" x14ac:dyDescent="0.25">
      <c r="A178" s="100"/>
      <c r="B178" s="100"/>
      <c r="C178" s="67" t="s">
        <v>14</v>
      </c>
      <c r="D178" s="75">
        <v>2114.8000000000002</v>
      </c>
      <c r="E178" s="58">
        <v>1121.26</v>
      </c>
      <c r="F178" s="59">
        <f>E178/D178*100</f>
        <v>53.019670890864376</v>
      </c>
      <c r="G178" s="102"/>
      <c r="H178" s="102"/>
      <c r="I178" s="89"/>
      <c r="J178" s="92"/>
      <c r="K178" s="92"/>
    </row>
    <row r="179" spans="1:11" s="50" customFormat="1" x14ac:dyDescent="0.25">
      <c r="A179" s="100"/>
      <c r="B179" s="100"/>
      <c r="C179" s="67" t="s">
        <v>16</v>
      </c>
      <c r="D179" s="43">
        <v>0</v>
      </c>
      <c r="E179" s="58">
        <v>0</v>
      </c>
      <c r="F179" s="59"/>
      <c r="G179" s="102"/>
      <c r="H179" s="102"/>
      <c r="I179" s="89"/>
      <c r="J179" s="92"/>
      <c r="K179" s="92"/>
    </row>
    <row r="180" spans="1:11" s="50" customFormat="1" x14ac:dyDescent="0.25">
      <c r="A180" s="100"/>
      <c r="B180" s="100"/>
      <c r="C180" s="67" t="s">
        <v>15</v>
      </c>
      <c r="D180" s="43">
        <v>0</v>
      </c>
      <c r="E180" s="58">
        <v>0</v>
      </c>
      <c r="F180" s="59"/>
      <c r="G180" s="102"/>
      <c r="H180" s="102"/>
      <c r="I180" s="89"/>
      <c r="J180" s="92"/>
      <c r="K180" s="92"/>
    </row>
    <row r="181" spans="1:11" s="50" customFormat="1" ht="14.25" customHeight="1" x14ac:dyDescent="0.25">
      <c r="A181" s="100"/>
      <c r="B181" s="100"/>
      <c r="C181" s="67" t="s">
        <v>17</v>
      </c>
      <c r="D181" s="43">
        <v>0</v>
      </c>
      <c r="E181" s="58">
        <v>0</v>
      </c>
      <c r="F181" s="59"/>
      <c r="G181" s="103"/>
      <c r="H181" s="103"/>
      <c r="I181" s="90"/>
      <c r="J181" s="93"/>
      <c r="K181" s="93"/>
    </row>
    <row r="182" spans="1:11" s="50" customFormat="1" ht="15" customHeight="1" x14ac:dyDescent="0.25">
      <c r="A182" s="100" t="s">
        <v>124</v>
      </c>
      <c r="B182" s="100" t="s">
        <v>129</v>
      </c>
      <c r="C182" s="67" t="s">
        <v>13</v>
      </c>
      <c r="D182" s="75">
        <f t="shared" ref="D182" si="47">D183+D184+D185+D186</f>
        <v>465.5</v>
      </c>
      <c r="E182" s="58">
        <f>E183+E184+E185+E186</f>
        <v>378.62</v>
      </c>
      <c r="F182" s="59">
        <f>E182/D182*100</f>
        <v>81.336197636949521</v>
      </c>
      <c r="G182" s="101" t="s">
        <v>300</v>
      </c>
      <c r="H182" s="101" t="s">
        <v>301</v>
      </c>
      <c r="I182" s="88" t="s">
        <v>81</v>
      </c>
      <c r="J182" s="91" t="s">
        <v>250</v>
      </c>
      <c r="K182" s="91" t="s">
        <v>218</v>
      </c>
    </row>
    <row r="183" spans="1:11" s="50" customFormat="1" x14ac:dyDescent="0.25">
      <c r="A183" s="100"/>
      <c r="B183" s="100"/>
      <c r="C183" s="67" t="s">
        <v>14</v>
      </c>
      <c r="D183" s="75">
        <v>465.5</v>
      </c>
      <c r="E183" s="58">
        <v>378.62</v>
      </c>
      <c r="F183" s="59">
        <f>E183/D183*100</f>
        <v>81.336197636949521</v>
      </c>
      <c r="G183" s="102"/>
      <c r="H183" s="102"/>
      <c r="I183" s="89"/>
      <c r="J183" s="92"/>
      <c r="K183" s="92"/>
    </row>
    <row r="184" spans="1:11" s="50" customFormat="1" x14ac:dyDescent="0.25">
      <c r="A184" s="100"/>
      <c r="B184" s="100"/>
      <c r="C184" s="67" t="s">
        <v>16</v>
      </c>
      <c r="D184" s="43">
        <v>0</v>
      </c>
      <c r="E184" s="58">
        <v>0</v>
      </c>
      <c r="F184" s="59"/>
      <c r="G184" s="102"/>
      <c r="H184" s="102"/>
      <c r="I184" s="89"/>
      <c r="J184" s="92"/>
      <c r="K184" s="92"/>
    </row>
    <row r="185" spans="1:11" s="50" customFormat="1" x14ac:dyDescent="0.25">
      <c r="A185" s="100"/>
      <c r="B185" s="100"/>
      <c r="C185" s="67" t="s">
        <v>15</v>
      </c>
      <c r="D185" s="43">
        <v>0</v>
      </c>
      <c r="E185" s="58">
        <v>0</v>
      </c>
      <c r="F185" s="59"/>
      <c r="G185" s="102"/>
      <c r="H185" s="102"/>
      <c r="I185" s="89"/>
      <c r="J185" s="92"/>
      <c r="K185" s="92"/>
    </row>
    <row r="186" spans="1:11" s="50" customFormat="1" ht="39" customHeight="1" x14ac:dyDescent="0.25">
      <c r="A186" s="100"/>
      <c r="B186" s="100"/>
      <c r="C186" s="67" t="s">
        <v>17</v>
      </c>
      <c r="D186" s="43">
        <v>0</v>
      </c>
      <c r="E186" s="58">
        <v>0</v>
      </c>
      <c r="F186" s="59"/>
      <c r="G186" s="103"/>
      <c r="H186" s="103"/>
      <c r="I186" s="90"/>
      <c r="J186" s="93"/>
      <c r="K186" s="93"/>
    </row>
    <row r="187" spans="1:11" s="50" customFormat="1" x14ac:dyDescent="0.25">
      <c r="A187" s="100" t="s">
        <v>125</v>
      </c>
      <c r="B187" s="100" t="s">
        <v>130</v>
      </c>
      <c r="C187" s="67" t="s">
        <v>13</v>
      </c>
      <c r="D187" s="75">
        <f t="shared" ref="D187" si="48">D188+D189+D190+D191</f>
        <v>333</v>
      </c>
      <c r="E187" s="58">
        <f>E188+E189+E190+E191</f>
        <v>178.15</v>
      </c>
      <c r="F187" s="59">
        <f>E187/D187*100</f>
        <v>53.498498498498506</v>
      </c>
      <c r="G187" s="101" t="s">
        <v>295</v>
      </c>
      <c r="H187" s="101" t="s">
        <v>303</v>
      </c>
      <c r="I187" s="88" t="s">
        <v>81</v>
      </c>
      <c r="J187" s="91" t="s">
        <v>250</v>
      </c>
      <c r="K187" s="91" t="s">
        <v>218</v>
      </c>
    </row>
    <row r="188" spans="1:11" s="50" customFormat="1" x14ac:dyDescent="0.25">
      <c r="A188" s="100"/>
      <c r="B188" s="100"/>
      <c r="C188" s="67" t="s">
        <v>14</v>
      </c>
      <c r="D188" s="75">
        <v>333</v>
      </c>
      <c r="E188" s="58">
        <v>178.15</v>
      </c>
      <c r="F188" s="59">
        <f>E188/D188*100</f>
        <v>53.498498498498506</v>
      </c>
      <c r="G188" s="102"/>
      <c r="H188" s="102"/>
      <c r="I188" s="89"/>
      <c r="J188" s="92"/>
      <c r="K188" s="92"/>
    </row>
    <row r="189" spans="1:11" s="50" customFormat="1" x14ac:dyDescent="0.25">
      <c r="A189" s="100"/>
      <c r="B189" s="100"/>
      <c r="C189" s="67" t="s">
        <v>16</v>
      </c>
      <c r="D189" s="43">
        <v>0</v>
      </c>
      <c r="E189" s="58">
        <v>0</v>
      </c>
      <c r="F189" s="59"/>
      <c r="G189" s="102"/>
      <c r="H189" s="102"/>
      <c r="I189" s="89"/>
      <c r="J189" s="92"/>
      <c r="K189" s="92"/>
    </row>
    <row r="190" spans="1:11" s="50" customFormat="1" ht="14.25" customHeight="1" x14ac:dyDescent="0.25">
      <c r="A190" s="100"/>
      <c r="B190" s="100"/>
      <c r="C190" s="67" t="s">
        <v>15</v>
      </c>
      <c r="D190" s="43">
        <v>0</v>
      </c>
      <c r="E190" s="58">
        <v>0</v>
      </c>
      <c r="F190" s="59"/>
      <c r="G190" s="102"/>
      <c r="H190" s="102"/>
      <c r="I190" s="89"/>
      <c r="J190" s="92"/>
      <c r="K190" s="92"/>
    </row>
    <row r="191" spans="1:11" s="50" customFormat="1" ht="24" customHeight="1" x14ac:dyDescent="0.25">
      <c r="A191" s="100"/>
      <c r="B191" s="100"/>
      <c r="C191" s="67" t="s">
        <v>17</v>
      </c>
      <c r="D191" s="43">
        <v>0</v>
      </c>
      <c r="E191" s="58">
        <v>0</v>
      </c>
      <c r="F191" s="59"/>
      <c r="G191" s="103"/>
      <c r="H191" s="103"/>
      <c r="I191" s="90"/>
      <c r="J191" s="93"/>
      <c r="K191" s="93"/>
    </row>
    <row r="192" spans="1:11" s="50" customFormat="1" x14ac:dyDescent="0.25">
      <c r="A192" s="100" t="s">
        <v>126</v>
      </c>
      <c r="B192" s="100" t="s">
        <v>131</v>
      </c>
      <c r="C192" s="67" t="s">
        <v>13</v>
      </c>
      <c r="D192" s="76">
        <f t="shared" ref="D192" si="49">D193+D194+D195+D196</f>
        <v>110</v>
      </c>
      <c r="E192" s="58">
        <f>E193+E194+E195+E196</f>
        <v>0</v>
      </c>
      <c r="F192" s="59">
        <f>E192/D192*100</f>
        <v>0</v>
      </c>
      <c r="G192" s="101" t="s">
        <v>215</v>
      </c>
      <c r="H192" s="101"/>
      <c r="I192" s="88" t="s">
        <v>272</v>
      </c>
      <c r="J192" s="91" t="s">
        <v>250</v>
      </c>
      <c r="K192" s="91" t="s">
        <v>218</v>
      </c>
    </row>
    <row r="193" spans="1:11" s="50" customFormat="1" ht="14.4" x14ac:dyDescent="0.25">
      <c r="A193" s="100"/>
      <c r="B193" s="100"/>
      <c r="C193" s="67" t="s">
        <v>14</v>
      </c>
      <c r="D193" s="76">
        <v>110</v>
      </c>
      <c r="E193" s="60">
        <v>0</v>
      </c>
      <c r="F193" s="59">
        <f>E193/D193*100</f>
        <v>0</v>
      </c>
      <c r="G193" s="102"/>
      <c r="H193" s="102"/>
      <c r="I193" s="89"/>
      <c r="J193" s="92"/>
      <c r="K193" s="92"/>
    </row>
    <row r="194" spans="1:11" s="50" customFormat="1" x14ac:dyDescent="0.25">
      <c r="A194" s="100"/>
      <c r="B194" s="100"/>
      <c r="C194" s="67" t="s">
        <v>16</v>
      </c>
      <c r="D194" s="43">
        <v>0</v>
      </c>
      <c r="E194" s="58">
        <v>0</v>
      </c>
      <c r="F194" s="59"/>
      <c r="G194" s="102"/>
      <c r="H194" s="102"/>
      <c r="I194" s="89"/>
      <c r="J194" s="92"/>
      <c r="K194" s="92"/>
    </row>
    <row r="195" spans="1:11" s="50" customFormat="1" x14ac:dyDescent="0.25">
      <c r="A195" s="100"/>
      <c r="B195" s="100"/>
      <c r="C195" s="67" t="s">
        <v>15</v>
      </c>
      <c r="D195" s="43">
        <v>0</v>
      </c>
      <c r="E195" s="58">
        <v>0</v>
      </c>
      <c r="F195" s="59"/>
      <c r="G195" s="102"/>
      <c r="H195" s="102"/>
      <c r="I195" s="89"/>
      <c r="J195" s="92"/>
      <c r="K195" s="92"/>
    </row>
    <row r="196" spans="1:11" s="50" customFormat="1" ht="12.75" customHeight="1" x14ac:dyDescent="0.25">
      <c r="A196" s="100"/>
      <c r="B196" s="100"/>
      <c r="C196" s="67" t="s">
        <v>17</v>
      </c>
      <c r="D196" s="43">
        <v>0</v>
      </c>
      <c r="E196" s="58">
        <v>0</v>
      </c>
      <c r="F196" s="59"/>
      <c r="G196" s="103"/>
      <c r="H196" s="103"/>
      <c r="I196" s="90"/>
      <c r="J196" s="93"/>
      <c r="K196" s="93"/>
    </row>
    <row r="197" spans="1:11" s="50" customFormat="1" x14ac:dyDescent="0.25">
      <c r="A197" s="104" t="s">
        <v>132</v>
      </c>
      <c r="B197" s="104" t="s">
        <v>134</v>
      </c>
      <c r="C197" s="66" t="s">
        <v>13</v>
      </c>
      <c r="D197" s="42">
        <f t="shared" ref="D197" si="50">SUM(D198:D201)</f>
        <v>24326.3</v>
      </c>
      <c r="E197" s="43">
        <f>E198+E199+E200+E201</f>
        <v>10503.8</v>
      </c>
      <c r="F197" s="57">
        <f>E197/D197*100</f>
        <v>43.178781812277244</v>
      </c>
      <c r="G197" s="122"/>
      <c r="H197" s="64" t="s">
        <v>18</v>
      </c>
      <c r="I197" s="20">
        <f>COUNTA(I202)</f>
        <v>1</v>
      </c>
      <c r="J197" s="109" t="s">
        <v>250</v>
      </c>
      <c r="K197" s="105"/>
    </row>
    <row r="198" spans="1:11" s="50" customFormat="1" x14ac:dyDescent="0.25">
      <c r="A198" s="104"/>
      <c r="B198" s="104"/>
      <c r="C198" s="66" t="s">
        <v>14</v>
      </c>
      <c r="D198" s="42">
        <v>0</v>
      </c>
      <c r="E198" s="43">
        <f>E203</f>
        <v>0</v>
      </c>
      <c r="F198" s="57"/>
      <c r="G198" s="122"/>
      <c r="H198" s="64" t="s">
        <v>19</v>
      </c>
      <c r="I198" s="20">
        <f>COUNTIF(I202,"да")</f>
        <v>0</v>
      </c>
      <c r="J198" s="110"/>
      <c r="K198" s="105"/>
    </row>
    <row r="199" spans="1:11" s="50" customFormat="1" x14ac:dyDescent="0.25">
      <c r="A199" s="104"/>
      <c r="B199" s="104"/>
      <c r="C199" s="66" t="s">
        <v>16</v>
      </c>
      <c r="D199" s="45">
        <v>24326.3</v>
      </c>
      <c r="E199" s="43">
        <f t="shared" ref="E199:E201" si="51">E204</f>
        <v>10503.8</v>
      </c>
      <c r="F199" s="57">
        <f>E199/D199*100</f>
        <v>43.178781812277244</v>
      </c>
      <c r="G199" s="122"/>
      <c r="H199" s="64" t="s">
        <v>20</v>
      </c>
      <c r="I199" s="20">
        <f>COUNTIF(I202,"частично")</f>
        <v>1</v>
      </c>
      <c r="J199" s="110"/>
      <c r="K199" s="105"/>
    </row>
    <row r="200" spans="1:11" s="50" customFormat="1" x14ac:dyDescent="0.25">
      <c r="A200" s="104"/>
      <c r="B200" s="104"/>
      <c r="C200" s="66" t="s">
        <v>15</v>
      </c>
      <c r="D200" s="43">
        <v>0</v>
      </c>
      <c r="E200" s="43">
        <f t="shared" si="51"/>
        <v>0</v>
      </c>
      <c r="F200" s="57"/>
      <c r="G200" s="122"/>
      <c r="H200" s="64" t="s">
        <v>21</v>
      </c>
      <c r="I200" s="20">
        <f>COUNTIF(I202,"нет")</f>
        <v>0</v>
      </c>
      <c r="J200" s="110"/>
      <c r="K200" s="105"/>
    </row>
    <row r="201" spans="1:11" s="50" customFormat="1" x14ac:dyDescent="0.25">
      <c r="A201" s="104"/>
      <c r="B201" s="104"/>
      <c r="C201" s="66" t="s">
        <v>17</v>
      </c>
      <c r="D201" s="43">
        <v>0</v>
      </c>
      <c r="E201" s="43">
        <f t="shared" si="51"/>
        <v>0</v>
      </c>
      <c r="F201" s="57"/>
      <c r="G201" s="122"/>
      <c r="H201" s="64" t="s">
        <v>22</v>
      </c>
      <c r="I201" s="31">
        <f>I198/I197*100</f>
        <v>0</v>
      </c>
      <c r="J201" s="111"/>
      <c r="K201" s="105"/>
    </row>
    <row r="202" spans="1:11" s="50" customFormat="1" ht="15" customHeight="1" x14ac:dyDescent="0.25">
      <c r="A202" s="100" t="s">
        <v>133</v>
      </c>
      <c r="B202" s="100" t="s">
        <v>135</v>
      </c>
      <c r="C202" s="67" t="s">
        <v>13</v>
      </c>
      <c r="D202" s="42">
        <f t="shared" ref="D202" si="52">SUM(D203:D206)</f>
        <v>24326.3</v>
      </c>
      <c r="E202" s="58">
        <f>E203+E204+E205+E206</f>
        <v>10503.8</v>
      </c>
      <c r="F202" s="59">
        <f>E202/D202*100</f>
        <v>43.178781812277244</v>
      </c>
      <c r="G202" s="101" t="s">
        <v>235</v>
      </c>
      <c r="H202" s="101" t="s">
        <v>304</v>
      </c>
      <c r="I202" s="88" t="s">
        <v>81</v>
      </c>
      <c r="J202" s="91" t="s">
        <v>250</v>
      </c>
      <c r="K202" s="91" t="s">
        <v>282</v>
      </c>
    </row>
    <row r="203" spans="1:11" s="50" customFormat="1" x14ac:dyDescent="0.25">
      <c r="A203" s="100"/>
      <c r="B203" s="100"/>
      <c r="C203" s="67" t="s">
        <v>14</v>
      </c>
      <c r="D203" s="42">
        <v>0</v>
      </c>
      <c r="E203" s="58">
        <v>0</v>
      </c>
      <c r="F203" s="59"/>
      <c r="G203" s="102"/>
      <c r="H203" s="102"/>
      <c r="I203" s="89"/>
      <c r="J203" s="92"/>
      <c r="K203" s="92"/>
    </row>
    <row r="204" spans="1:11" s="50" customFormat="1" x14ac:dyDescent="0.25">
      <c r="A204" s="100"/>
      <c r="B204" s="100"/>
      <c r="C204" s="67" t="s">
        <v>16</v>
      </c>
      <c r="D204" s="43">
        <v>24326.3</v>
      </c>
      <c r="E204" s="58">
        <v>10503.8</v>
      </c>
      <c r="F204" s="59">
        <f>E204/D204*100</f>
        <v>43.178781812277244</v>
      </c>
      <c r="G204" s="102"/>
      <c r="H204" s="102"/>
      <c r="I204" s="89"/>
      <c r="J204" s="92"/>
      <c r="K204" s="92"/>
    </row>
    <row r="205" spans="1:11" s="50" customFormat="1" x14ac:dyDescent="0.25">
      <c r="A205" s="100"/>
      <c r="B205" s="100"/>
      <c r="C205" s="67" t="s">
        <v>15</v>
      </c>
      <c r="D205" s="43">
        <v>0</v>
      </c>
      <c r="E205" s="58">
        <v>0</v>
      </c>
      <c r="F205" s="59"/>
      <c r="G205" s="102"/>
      <c r="H205" s="102"/>
      <c r="I205" s="89"/>
      <c r="J205" s="92"/>
      <c r="K205" s="92"/>
    </row>
    <row r="206" spans="1:11" s="50" customFormat="1" ht="39" customHeight="1" x14ac:dyDescent="0.25">
      <c r="A206" s="100"/>
      <c r="B206" s="100"/>
      <c r="C206" s="67" t="s">
        <v>17</v>
      </c>
      <c r="D206" s="43">
        <v>0</v>
      </c>
      <c r="E206" s="58">
        <v>0</v>
      </c>
      <c r="F206" s="59"/>
      <c r="G206" s="103"/>
      <c r="H206" s="103"/>
      <c r="I206" s="90"/>
      <c r="J206" s="93"/>
      <c r="K206" s="93"/>
    </row>
    <row r="207" spans="1:11" s="50" customFormat="1" x14ac:dyDescent="0.25">
      <c r="A207" s="104" t="s">
        <v>136</v>
      </c>
      <c r="B207" s="104" t="s">
        <v>140</v>
      </c>
      <c r="C207" s="66" t="s">
        <v>13</v>
      </c>
      <c r="D207" s="70">
        <f>SUM(D208:D211)</f>
        <v>33</v>
      </c>
      <c r="E207" s="43">
        <f>E208+E209+E210+E211</f>
        <v>0.86499999999999999</v>
      </c>
      <c r="F207" s="57">
        <f>E207/D207*100</f>
        <v>2.6212121212121211</v>
      </c>
      <c r="G207" s="105"/>
      <c r="H207" s="25" t="s">
        <v>18</v>
      </c>
      <c r="I207" s="20">
        <f>COUNTA(I212)</f>
        <v>1</v>
      </c>
      <c r="J207" s="109" t="s">
        <v>91</v>
      </c>
      <c r="K207" s="105"/>
    </row>
    <row r="208" spans="1:11" s="50" customFormat="1" x14ac:dyDescent="0.25">
      <c r="A208" s="104"/>
      <c r="B208" s="104"/>
      <c r="C208" s="66" t="s">
        <v>14</v>
      </c>
      <c r="D208" s="70">
        <f t="shared" ref="D208" si="53">D213</f>
        <v>33</v>
      </c>
      <c r="E208" s="43">
        <f t="shared" ref="E208:E211" si="54">E213</f>
        <v>0.86499999999999999</v>
      </c>
      <c r="F208" s="57">
        <f>E208/D208*100</f>
        <v>2.6212121212121211</v>
      </c>
      <c r="G208" s="105"/>
      <c r="H208" s="25" t="s">
        <v>19</v>
      </c>
      <c r="I208" s="20">
        <f>COUNTIF(I212,"да")</f>
        <v>0</v>
      </c>
      <c r="J208" s="110"/>
      <c r="K208" s="105"/>
    </row>
    <row r="209" spans="1:11" s="50" customFormat="1" x14ac:dyDescent="0.25">
      <c r="A209" s="104"/>
      <c r="B209" s="104"/>
      <c r="C209" s="66" t="s">
        <v>16</v>
      </c>
      <c r="D209" s="70">
        <v>0</v>
      </c>
      <c r="E209" s="43">
        <f t="shared" si="54"/>
        <v>0</v>
      </c>
      <c r="F209" s="57"/>
      <c r="G209" s="105"/>
      <c r="H209" s="25" t="s">
        <v>20</v>
      </c>
      <c r="I209" s="20">
        <f>COUNTIF(I212,"частично")</f>
        <v>1</v>
      </c>
      <c r="J209" s="110"/>
      <c r="K209" s="105"/>
    </row>
    <row r="210" spans="1:11" s="50" customFormat="1" x14ac:dyDescent="0.25">
      <c r="A210" s="104"/>
      <c r="B210" s="104"/>
      <c r="C210" s="66" t="s">
        <v>15</v>
      </c>
      <c r="D210" s="70">
        <v>0</v>
      </c>
      <c r="E210" s="43">
        <f t="shared" si="54"/>
        <v>0</v>
      </c>
      <c r="F210" s="57"/>
      <c r="G210" s="105"/>
      <c r="H210" s="25" t="s">
        <v>21</v>
      </c>
      <c r="I210" s="20">
        <f>COUNTIF(I212,"нет")</f>
        <v>0</v>
      </c>
      <c r="J210" s="110"/>
      <c r="K210" s="105"/>
    </row>
    <row r="211" spans="1:11" s="50" customFormat="1" ht="70.5" customHeight="1" x14ac:dyDescent="0.25">
      <c r="A211" s="104"/>
      <c r="B211" s="104"/>
      <c r="C211" s="66" t="s">
        <v>17</v>
      </c>
      <c r="D211" s="43">
        <v>0</v>
      </c>
      <c r="E211" s="43">
        <f t="shared" si="54"/>
        <v>0</v>
      </c>
      <c r="F211" s="57"/>
      <c r="G211" s="105"/>
      <c r="H211" s="25" t="s">
        <v>22</v>
      </c>
      <c r="I211" s="31">
        <f>I208/I207*100</f>
        <v>0</v>
      </c>
      <c r="J211" s="111"/>
      <c r="K211" s="105"/>
    </row>
    <row r="212" spans="1:11" s="50" customFormat="1" ht="15" customHeight="1" x14ac:dyDescent="0.25">
      <c r="A212" s="100" t="s">
        <v>137</v>
      </c>
      <c r="B212" s="100" t="s">
        <v>141</v>
      </c>
      <c r="C212" s="67" t="s">
        <v>13</v>
      </c>
      <c r="D212" s="74">
        <f t="shared" ref="D212" si="55">SUM(D213:D216)</f>
        <v>33</v>
      </c>
      <c r="E212" s="58">
        <f>E213+E214+E215+E216</f>
        <v>0.86499999999999999</v>
      </c>
      <c r="F212" s="59">
        <f>E212/D212*100</f>
        <v>2.6212121212121211</v>
      </c>
      <c r="G212" s="96" t="s">
        <v>287</v>
      </c>
      <c r="H212" s="96" t="s">
        <v>288</v>
      </c>
      <c r="I212" s="88" t="s">
        <v>81</v>
      </c>
      <c r="J212" s="91" t="s">
        <v>91</v>
      </c>
      <c r="K212" s="91" t="s">
        <v>282</v>
      </c>
    </row>
    <row r="213" spans="1:11" s="50" customFormat="1" x14ac:dyDescent="0.25">
      <c r="A213" s="100"/>
      <c r="B213" s="100"/>
      <c r="C213" s="67" t="s">
        <v>14</v>
      </c>
      <c r="D213" s="70">
        <v>33</v>
      </c>
      <c r="E213" s="58">
        <v>0.86499999999999999</v>
      </c>
      <c r="F213" s="59">
        <f>E213/D213*100</f>
        <v>2.6212121212121211</v>
      </c>
      <c r="G213" s="97"/>
      <c r="H213" s="97"/>
      <c r="I213" s="89"/>
      <c r="J213" s="92"/>
      <c r="K213" s="92"/>
    </row>
    <row r="214" spans="1:11" s="50" customFormat="1" x14ac:dyDescent="0.25">
      <c r="A214" s="100"/>
      <c r="B214" s="100"/>
      <c r="C214" s="67" t="s">
        <v>16</v>
      </c>
      <c r="D214" s="77">
        <v>0</v>
      </c>
      <c r="E214" s="58">
        <v>0</v>
      </c>
      <c r="F214" s="59"/>
      <c r="G214" s="97"/>
      <c r="H214" s="97"/>
      <c r="I214" s="89"/>
      <c r="J214" s="92"/>
      <c r="K214" s="92"/>
    </row>
    <row r="215" spans="1:11" s="50" customFormat="1" x14ac:dyDescent="0.25">
      <c r="A215" s="100"/>
      <c r="B215" s="100"/>
      <c r="C215" s="67" t="s">
        <v>15</v>
      </c>
      <c r="D215" s="70">
        <v>0</v>
      </c>
      <c r="E215" s="58">
        <v>0</v>
      </c>
      <c r="F215" s="59"/>
      <c r="G215" s="97"/>
      <c r="H215" s="97"/>
      <c r="I215" s="89"/>
      <c r="J215" s="92"/>
      <c r="K215" s="92"/>
    </row>
    <row r="216" spans="1:11" s="50" customFormat="1" ht="108.75" customHeight="1" x14ac:dyDescent="0.25">
      <c r="A216" s="100"/>
      <c r="B216" s="100"/>
      <c r="C216" s="67" t="s">
        <v>17</v>
      </c>
      <c r="D216" s="43">
        <v>0</v>
      </c>
      <c r="E216" s="58">
        <v>0</v>
      </c>
      <c r="F216" s="59"/>
      <c r="G216" s="112"/>
      <c r="H216" s="112"/>
      <c r="I216" s="90"/>
      <c r="J216" s="93"/>
      <c r="K216" s="93"/>
    </row>
    <row r="217" spans="1:11" s="50" customFormat="1" x14ac:dyDescent="0.25">
      <c r="A217" s="104" t="s">
        <v>138</v>
      </c>
      <c r="B217" s="104" t="s">
        <v>240</v>
      </c>
      <c r="C217" s="66" t="s">
        <v>13</v>
      </c>
      <c r="D217" s="70">
        <f t="shared" ref="D217" si="56">SUM(D218:D221)</f>
        <v>2994</v>
      </c>
      <c r="E217" s="43">
        <f>E218+E219+E220+E221</f>
        <v>1456.89</v>
      </c>
      <c r="F217" s="57">
        <f>E217/D217*100</f>
        <v>48.660320641282567</v>
      </c>
      <c r="G217" s="105"/>
      <c r="H217" s="25" t="s">
        <v>18</v>
      </c>
      <c r="I217" s="20">
        <f>COUNTA(I222)</f>
        <v>1</v>
      </c>
      <c r="J217" s="109" t="s">
        <v>91</v>
      </c>
      <c r="K217" s="105"/>
    </row>
    <row r="218" spans="1:11" s="50" customFormat="1" x14ac:dyDescent="0.25">
      <c r="A218" s="104"/>
      <c r="B218" s="104"/>
      <c r="C218" s="66" t="s">
        <v>14</v>
      </c>
      <c r="D218" s="70">
        <f t="shared" ref="D218" si="57">-D223</f>
        <v>0</v>
      </c>
      <c r="E218" s="43">
        <f t="shared" ref="E218:E221" si="58">E223</f>
        <v>0</v>
      </c>
      <c r="F218" s="57"/>
      <c r="G218" s="105"/>
      <c r="H218" s="25" t="s">
        <v>19</v>
      </c>
      <c r="I218" s="20">
        <f>COUNTIF(I222,"да")</f>
        <v>0</v>
      </c>
      <c r="J218" s="110"/>
      <c r="K218" s="105"/>
    </row>
    <row r="219" spans="1:11" s="50" customFormat="1" x14ac:dyDescent="0.25">
      <c r="A219" s="104"/>
      <c r="B219" s="104"/>
      <c r="C219" s="66" t="s">
        <v>16</v>
      </c>
      <c r="D219" s="70">
        <f t="shared" ref="D219" si="59">D224</f>
        <v>2994</v>
      </c>
      <c r="E219" s="43">
        <f t="shared" si="58"/>
        <v>1456.89</v>
      </c>
      <c r="F219" s="57">
        <f>E219/D219*100</f>
        <v>48.660320641282567</v>
      </c>
      <c r="G219" s="105"/>
      <c r="H219" s="25" t="s">
        <v>20</v>
      </c>
      <c r="I219" s="20">
        <f>COUNTIF(I222,"частично")</f>
        <v>1</v>
      </c>
      <c r="J219" s="110"/>
      <c r="K219" s="105"/>
    </row>
    <row r="220" spans="1:11" s="50" customFormat="1" x14ac:dyDescent="0.25">
      <c r="A220" s="104"/>
      <c r="B220" s="104"/>
      <c r="C220" s="66" t="s">
        <v>15</v>
      </c>
      <c r="D220" s="70">
        <v>0</v>
      </c>
      <c r="E220" s="43">
        <f t="shared" si="58"/>
        <v>0</v>
      </c>
      <c r="F220" s="57"/>
      <c r="G220" s="105"/>
      <c r="H220" s="25" t="s">
        <v>21</v>
      </c>
      <c r="I220" s="20">
        <f>COUNTIF(I222,"нет")</f>
        <v>0</v>
      </c>
      <c r="J220" s="110"/>
      <c r="K220" s="105"/>
    </row>
    <row r="221" spans="1:11" s="50" customFormat="1" ht="51" customHeight="1" x14ac:dyDescent="0.25">
      <c r="A221" s="104"/>
      <c r="B221" s="104"/>
      <c r="C221" s="66" t="s">
        <v>17</v>
      </c>
      <c r="D221" s="70">
        <v>0</v>
      </c>
      <c r="E221" s="43">
        <f t="shared" si="58"/>
        <v>0</v>
      </c>
      <c r="F221" s="57"/>
      <c r="G221" s="105"/>
      <c r="H221" s="25" t="s">
        <v>22</v>
      </c>
      <c r="I221" s="31">
        <f>I218/I217*100</f>
        <v>0</v>
      </c>
      <c r="J221" s="111"/>
      <c r="K221" s="105"/>
    </row>
    <row r="222" spans="1:11" s="50" customFormat="1" ht="15" customHeight="1" x14ac:dyDescent="0.25">
      <c r="A222" s="100" t="s">
        <v>139</v>
      </c>
      <c r="B222" s="100" t="s">
        <v>241</v>
      </c>
      <c r="C222" s="67" t="s">
        <v>13</v>
      </c>
      <c r="D222" s="70">
        <f t="shared" ref="D222" si="60">SUM(D223:D226)</f>
        <v>2994</v>
      </c>
      <c r="E222" s="58">
        <f>E223+E224+E225+E226</f>
        <v>1456.89</v>
      </c>
      <c r="F222" s="59">
        <f>E222/D222*100</f>
        <v>48.660320641282567</v>
      </c>
      <c r="G222" s="96" t="s">
        <v>289</v>
      </c>
      <c r="H222" s="96" t="s">
        <v>290</v>
      </c>
      <c r="I222" s="88" t="s">
        <v>81</v>
      </c>
      <c r="J222" s="91" t="s">
        <v>91</v>
      </c>
      <c r="K222" s="91" t="s">
        <v>283</v>
      </c>
    </row>
    <row r="223" spans="1:11" s="50" customFormat="1" x14ac:dyDescent="0.25">
      <c r="A223" s="100"/>
      <c r="B223" s="100"/>
      <c r="C223" s="67" t="s">
        <v>14</v>
      </c>
      <c r="D223" s="70">
        <v>0</v>
      </c>
      <c r="E223" s="58">
        <v>0</v>
      </c>
      <c r="F223" s="59"/>
      <c r="G223" s="97"/>
      <c r="H223" s="97"/>
      <c r="I223" s="89"/>
      <c r="J223" s="92"/>
      <c r="K223" s="92"/>
    </row>
    <row r="224" spans="1:11" s="50" customFormat="1" x14ac:dyDescent="0.25">
      <c r="A224" s="100"/>
      <c r="B224" s="100"/>
      <c r="C224" s="67" t="s">
        <v>16</v>
      </c>
      <c r="D224" s="70">
        <v>2994</v>
      </c>
      <c r="E224" s="58">
        <v>1456.89</v>
      </c>
      <c r="F224" s="59">
        <f>E224/D224*100</f>
        <v>48.660320641282567</v>
      </c>
      <c r="G224" s="97"/>
      <c r="H224" s="97"/>
      <c r="I224" s="89"/>
      <c r="J224" s="92"/>
      <c r="K224" s="92"/>
    </row>
    <row r="225" spans="1:11" s="50" customFormat="1" x14ac:dyDescent="0.25">
      <c r="A225" s="100"/>
      <c r="B225" s="100"/>
      <c r="C225" s="67" t="s">
        <v>15</v>
      </c>
      <c r="D225" s="77">
        <v>0</v>
      </c>
      <c r="E225" s="58">
        <v>0</v>
      </c>
      <c r="F225" s="59"/>
      <c r="G225" s="97"/>
      <c r="H225" s="97"/>
      <c r="I225" s="89"/>
      <c r="J225" s="92"/>
      <c r="K225" s="92"/>
    </row>
    <row r="226" spans="1:11" s="50" customFormat="1" ht="97.5" customHeight="1" x14ac:dyDescent="0.25">
      <c r="A226" s="100"/>
      <c r="B226" s="100"/>
      <c r="C226" s="67" t="s">
        <v>17</v>
      </c>
      <c r="D226" s="43">
        <v>0</v>
      </c>
      <c r="E226" s="58">
        <v>0</v>
      </c>
      <c r="F226" s="59"/>
      <c r="G226" s="112"/>
      <c r="H226" s="112"/>
      <c r="I226" s="90"/>
      <c r="J226" s="93"/>
      <c r="K226" s="93"/>
    </row>
    <row r="227" spans="1:11" s="50" customFormat="1" x14ac:dyDescent="0.25">
      <c r="A227" s="104" t="s">
        <v>142</v>
      </c>
      <c r="B227" s="104" t="s">
        <v>144</v>
      </c>
      <c r="C227" s="66" t="s">
        <v>13</v>
      </c>
      <c r="D227" s="42">
        <f t="shared" ref="D227" si="61">SUM(D228:D231)</f>
        <v>1634.6</v>
      </c>
      <c r="E227" s="43">
        <f>E228+E229+E230+E231</f>
        <v>323.60000000000002</v>
      </c>
      <c r="F227" s="61">
        <f>E227/D227*100</f>
        <v>19.796892206044294</v>
      </c>
      <c r="G227" s="105"/>
      <c r="H227" s="25" t="s">
        <v>18</v>
      </c>
      <c r="I227" s="20">
        <f>COUNTA(I232)</f>
        <v>1</v>
      </c>
      <c r="J227" s="109" t="s">
        <v>90</v>
      </c>
      <c r="K227" s="105"/>
    </row>
    <row r="228" spans="1:11" s="50" customFormat="1" x14ac:dyDescent="0.25">
      <c r="A228" s="104"/>
      <c r="B228" s="104"/>
      <c r="C228" s="66" t="s">
        <v>14</v>
      </c>
      <c r="D228" s="42">
        <v>0</v>
      </c>
      <c r="E228" s="43">
        <f t="shared" ref="E228:E231" si="62">E233</f>
        <v>0</v>
      </c>
      <c r="F228" s="61"/>
      <c r="G228" s="105"/>
      <c r="H228" s="25" t="s">
        <v>19</v>
      </c>
      <c r="I228" s="20">
        <f>COUNTIF(I232,"да")</f>
        <v>0</v>
      </c>
      <c r="J228" s="110"/>
      <c r="K228" s="105"/>
    </row>
    <row r="229" spans="1:11" s="50" customFormat="1" x14ac:dyDescent="0.25">
      <c r="A229" s="104"/>
      <c r="B229" s="104"/>
      <c r="C229" s="66" t="s">
        <v>16</v>
      </c>
      <c r="D229" s="42">
        <f t="shared" ref="D229" si="63">D234</f>
        <v>1634.6</v>
      </c>
      <c r="E229" s="43">
        <f t="shared" si="62"/>
        <v>323.60000000000002</v>
      </c>
      <c r="F229" s="61">
        <f>E229/D229*100</f>
        <v>19.796892206044294</v>
      </c>
      <c r="G229" s="105"/>
      <c r="H229" s="25" t="s">
        <v>20</v>
      </c>
      <c r="I229" s="20">
        <f>COUNTIF(I232,"частично")</f>
        <v>1</v>
      </c>
      <c r="J229" s="110"/>
      <c r="K229" s="105"/>
    </row>
    <row r="230" spans="1:11" s="50" customFormat="1" x14ac:dyDescent="0.25">
      <c r="A230" s="104"/>
      <c r="B230" s="104"/>
      <c r="C230" s="66" t="s">
        <v>15</v>
      </c>
      <c r="D230" s="43">
        <v>0</v>
      </c>
      <c r="E230" s="43">
        <f t="shared" si="62"/>
        <v>0</v>
      </c>
      <c r="F230" s="61"/>
      <c r="G230" s="105"/>
      <c r="H230" s="25" t="s">
        <v>21</v>
      </c>
      <c r="I230" s="20">
        <f>COUNTIF(I232,"нет")</f>
        <v>0</v>
      </c>
      <c r="J230" s="110"/>
      <c r="K230" s="105"/>
    </row>
    <row r="231" spans="1:11" s="50" customFormat="1" x14ac:dyDescent="0.25">
      <c r="A231" s="104"/>
      <c r="B231" s="104"/>
      <c r="C231" s="66" t="s">
        <v>17</v>
      </c>
      <c r="D231" s="43">
        <v>0</v>
      </c>
      <c r="E231" s="43">
        <f t="shared" si="62"/>
        <v>0</v>
      </c>
      <c r="F231" s="61"/>
      <c r="G231" s="105"/>
      <c r="H231" s="25" t="s">
        <v>22</v>
      </c>
      <c r="I231" s="31">
        <f>I228/I227*100</f>
        <v>0</v>
      </c>
      <c r="J231" s="111"/>
      <c r="K231" s="105"/>
    </row>
    <row r="232" spans="1:11" s="50" customFormat="1" x14ac:dyDescent="0.25">
      <c r="A232" s="100" t="s">
        <v>143</v>
      </c>
      <c r="B232" s="100" t="s">
        <v>145</v>
      </c>
      <c r="C232" s="67" t="s">
        <v>13</v>
      </c>
      <c r="D232" s="42">
        <f t="shared" ref="D232" si="64">SUM(D233:D236)</f>
        <v>1634.6</v>
      </c>
      <c r="E232" s="58">
        <f>E233+E234+E235+E236</f>
        <v>323.60000000000002</v>
      </c>
      <c r="F232" s="62">
        <f>E232/D232*100</f>
        <v>19.796892206044294</v>
      </c>
      <c r="G232" s="96" t="s">
        <v>212</v>
      </c>
      <c r="H232" s="96" t="s">
        <v>285</v>
      </c>
      <c r="I232" s="88" t="s">
        <v>81</v>
      </c>
      <c r="J232" s="91" t="s">
        <v>90</v>
      </c>
      <c r="K232" s="91" t="s">
        <v>284</v>
      </c>
    </row>
    <row r="233" spans="1:11" s="50" customFormat="1" x14ac:dyDescent="0.25">
      <c r="A233" s="100"/>
      <c r="B233" s="100"/>
      <c r="C233" s="67" t="s">
        <v>14</v>
      </c>
      <c r="D233" s="43">
        <v>0</v>
      </c>
      <c r="E233" s="58">
        <v>0</v>
      </c>
      <c r="F233" s="62"/>
      <c r="G233" s="97"/>
      <c r="H233" s="97"/>
      <c r="I233" s="89"/>
      <c r="J233" s="92"/>
      <c r="K233" s="92"/>
    </row>
    <row r="234" spans="1:11" s="50" customFormat="1" x14ac:dyDescent="0.25">
      <c r="A234" s="100"/>
      <c r="B234" s="100"/>
      <c r="C234" s="67" t="s">
        <v>16</v>
      </c>
      <c r="D234" s="78">
        <v>1634.6</v>
      </c>
      <c r="E234" s="58">
        <v>323.60000000000002</v>
      </c>
      <c r="F234" s="62">
        <f>E234/D234*100</f>
        <v>19.796892206044294</v>
      </c>
      <c r="G234" s="97"/>
      <c r="H234" s="97"/>
      <c r="I234" s="89"/>
      <c r="J234" s="92"/>
      <c r="K234" s="92"/>
    </row>
    <row r="235" spans="1:11" s="50" customFormat="1" x14ac:dyDescent="0.25">
      <c r="A235" s="100"/>
      <c r="B235" s="100"/>
      <c r="C235" s="67" t="s">
        <v>15</v>
      </c>
      <c r="D235" s="44">
        <v>0</v>
      </c>
      <c r="E235" s="58">
        <v>0</v>
      </c>
      <c r="F235" s="59"/>
      <c r="G235" s="97"/>
      <c r="H235" s="97"/>
      <c r="I235" s="89"/>
      <c r="J235" s="92"/>
      <c r="K235" s="92"/>
    </row>
    <row r="236" spans="1:11" s="50" customFormat="1" x14ac:dyDescent="0.25">
      <c r="A236" s="100"/>
      <c r="B236" s="100"/>
      <c r="C236" s="67" t="s">
        <v>17</v>
      </c>
      <c r="D236" s="43">
        <v>0</v>
      </c>
      <c r="E236" s="58">
        <v>0</v>
      </c>
      <c r="F236" s="59"/>
      <c r="G236" s="112"/>
      <c r="H236" s="112"/>
      <c r="I236" s="90"/>
      <c r="J236" s="93"/>
      <c r="K236" s="93"/>
    </row>
    <row r="237" spans="1:11" s="37" customFormat="1" ht="13.95" customHeight="1" x14ac:dyDescent="0.25">
      <c r="A237" s="113" t="s">
        <v>71</v>
      </c>
      <c r="B237" s="113" t="s">
        <v>155</v>
      </c>
      <c r="C237" s="68" t="s">
        <v>13</v>
      </c>
      <c r="D237" s="85">
        <f t="shared" ref="D237" si="65">SUM(D238:D241)</f>
        <v>9918.2000000000007</v>
      </c>
      <c r="E237" s="55">
        <f>E238+E239+E240+E241</f>
        <v>1494.02</v>
      </c>
      <c r="F237" s="56">
        <f>E237/D237*100</f>
        <v>15.063418765501805</v>
      </c>
      <c r="G237" s="117"/>
      <c r="H237" s="29" t="s">
        <v>18</v>
      </c>
      <c r="I237" s="21">
        <f>I242</f>
        <v>3</v>
      </c>
      <c r="J237" s="117" t="s">
        <v>253</v>
      </c>
      <c r="K237" s="117"/>
    </row>
    <row r="238" spans="1:11" s="37" customFormat="1" x14ac:dyDescent="0.25">
      <c r="A238" s="113"/>
      <c r="B238" s="113"/>
      <c r="C238" s="68" t="s">
        <v>14</v>
      </c>
      <c r="D238" s="85">
        <f t="shared" ref="D238:D239" si="66">D243</f>
        <v>9918.2000000000007</v>
      </c>
      <c r="E238" s="55">
        <f>E243</f>
        <v>1494.02</v>
      </c>
      <c r="F238" s="56">
        <f>E238/D238*100</f>
        <v>15.063418765501805</v>
      </c>
      <c r="G238" s="118"/>
      <c r="H238" s="29" t="s">
        <v>19</v>
      </c>
      <c r="I238" s="21">
        <f>I243</f>
        <v>0</v>
      </c>
      <c r="J238" s="118"/>
      <c r="K238" s="118"/>
    </row>
    <row r="239" spans="1:11" s="37" customFormat="1" x14ac:dyDescent="0.25">
      <c r="A239" s="113"/>
      <c r="B239" s="113"/>
      <c r="C239" s="68" t="s">
        <v>16</v>
      </c>
      <c r="D239" s="85">
        <f t="shared" si="66"/>
        <v>0</v>
      </c>
      <c r="E239" s="55">
        <f t="shared" ref="E239:E241" si="67">E244</f>
        <v>0</v>
      </c>
      <c r="F239" s="56"/>
      <c r="G239" s="118"/>
      <c r="H239" s="29" t="s">
        <v>20</v>
      </c>
      <c r="I239" s="21">
        <f>I244</f>
        <v>3</v>
      </c>
      <c r="J239" s="118"/>
      <c r="K239" s="118"/>
    </row>
    <row r="240" spans="1:11" s="37" customFormat="1" x14ac:dyDescent="0.25">
      <c r="A240" s="113"/>
      <c r="B240" s="113"/>
      <c r="C240" s="68" t="s">
        <v>15</v>
      </c>
      <c r="D240" s="85">
        <v>0</v>
      </c>
      <c r="E240" s="55">
        <f t="shared" si="67"/>
        <v>0</v>
      </c>
      <c r="F240" s="56"/>
      <c r="G240" s="118"/>
      <c r="H240" s="29" t="s">
        <v>21</v>
      </c>
      <c r="I240" s="21">
        <f>I245</f>
        <v>0</v>
      </c>
      <c r="J240" s="118"/>
      <c r="K240" s="118"/>
    </row>
    <row r="241" spans="1:11" s="37" customFormat="1" ht="36" customHeight="1" x14ac:dyDescent="0.25">
      <c r="A241" s="113"/>
      <c r="B241" s="113"/>
      <c r="C241" s="68" t="s">
        <v>17</v>
      </c>
      <c r="D241" s="85">
        <v>0</v>
      </c>
      <c r="E241" s="55">
        <f t="shared" si="67"/>
        <v>0</v>
      </c>
      <c r="F241" s="56"/>
      <c r="G241" s="119"/>
      <c r="H241" s="29" t="s">
        <v>22</v>
      </c>
      <c r="I241" s="30">
        <f>I238/I237*100</f>
        <v>0</v>
      </c>
      <c r="J241" s="119"/>
      <c r="K241" s="119"/>
    </row>
    <row r="242" spans="1:11" x14ac:dyDescent="0.25">
      <c r="A242" s="104" t="s">
        <v>31</v>
      </c>
      <c r="B242" s="104" t="s">
        <v>242</v>
      </c>
      <c r="C242" s="66" t="s">
        <v>13</v>
      </c>
      <c r="D242" s="76">
        <f t="shared" ref="D242" si="68">SUM(D243:D246)</f>
        <v>9918.2000000000007</v>
      </c>
      <c r="E242" s="43">
        <f>E243+E244+E245+E246</f>
        <v>1494.02</v>
      </c>
      <c r="F242" s="57">
        <f>E242/D242*100</f>
        <v>15.063418765501805</v>
      </c>
      <c r="G242" s="109"/>
      <c r="H242" s="25" t="s">
        <v>18</v>
      </c>
      <c r="I242" s="20">
        <f>COUNTA(I247:I276)</f>
        <v>3</v>
      </c>
      <c r="J242" s="109" t="s">
        <v>253</v>
      </c>
      <c r="K242" s="109"/>
    </row>
    <row r="243" spans="1:11" x14ac:dyDescent="0.25">
      <c r="A243" s="104"/>
      <c r="B243" s="104"/>
      <c r="C243" s="66" t="s">
        <v>14</v>
      </c>
      <c r="D243" s="76">
        <f t="shared" ref="D243:D244" si="69">D248+D253+D258+D263+D268+D273</f>
        <v>9918.2000000000007</v>
      </c>
      <c r="E243" s="43">
        <f>E248+E253+E258+E263+E268+E273</f>
        <v>1494.02</v>
      </c>
      <c r="F243" s="57">
        <f>E243/D243*100</f>
        <v>15.063418765501805</v>
      </c>
      <c r="G243" s="110"/>
      <c r="H243" s="25" t="s">
        <v>19</v>
      </c>
      <c r="I243" s="20">
        <f>COUNTIF(I247:I276,"да")</f>
        <v>0</v>
      </c>
      <c r="J243" s="110"/>
      <c r="K243" s="110"/>
    </row>
    <row r="244" spans="1:11" x14ac:dyDescent="0.25">
      <c r="A244" s="104"/>
      <c r="B244" s="104"/>
      <c r="C244" s="66" t="s">
        <v>16</v>
      </c>
      <c r="D244" s="47">
        <f t="shared" si="69"/>
        <v>0</v>
      </c>
      <c r="E244" s="43">
        <f>E249+E254+E259+E264+E269+E274</f>
        <v>0</v>
      </c>
      <c r="F244" s="57"/>
      <c r="G244" s="110"/>
      <c r="H244" s="25" t="s">
        <v>20</v>
      </c>
      <c r="I244" s="20">
        <f>COUNTIF(I247:I276,"частично")</f>
        <v>3</v>
      </c>
      <c r="J244" s="110"/>
      <c r="K244" s="110"/>
    </row>
    <row r="245" spans="1:11" x14ac:dyDescent="0.25">
      <c r="A245" s="104"/>
      <c r="B245" s="104"/>
      <c r="C245" s="66" t="s">
        <v>15</v>
      </c>
      <c r="D245" s="47">
        <v>0</v>
      </c>
      <c r="E245" s="43">
        <f t="shared" ref="E245:E246" si="70">E250+E255+E260+E265+E270+E275</f>
        <v>0</v>
      </c>
      <c r="F245" s="57"/>
      <c r="G245" s="110"/>
      <c r="H245" s="25" t="s">
        <v>21</v>
      </c>
      <c r="I245" s="20">
        <f>COUNTIF(I247:I276,"нет")</f>
        <v>0</v>
      </c>
      <c r="J245" s="110"/>
      <c r="K245" s="110"/>
    </row>
    <row r="246" spans="1:11" ht="46.2" customHeight="1" x14ac:dyDescent="0.25">
      <c r="A246" s="104"/>
      <c r="B246" s="104"/>
      <c r="C246" s="66" t="s">
        <v>17</v>
      </c>
      <c r="D246" s="47">
        <v>0</v>
      </c>
      <c r="E246" s="43">
        <f t="shared" si="70"/>
        <v>0</v>
      </c>
      <c r="F246" s="57"/>
      <c r="G246" s="111"/>
      <c r="H246" s="25" t="s">
        <v>22</v>
      </c>
      <c r="I246" s="31">
        <f>I243/I242*100</f>
        <v>0</v>
      </c>
      <c r="J246" s="111"/>
      <c r="K246" s="111"/>
    </row>
    <row r="247" spans="1:11" ht="15" customHeight="1" x14ac:dyDescent="0.25">
      <c r="A247" s="100" t="s">
        <v>32</v>
      </c>
      <c r="B247" s="100" t="s">
        <v>243</v>
      </c>
      <c r="C247" s="67" t="s">
        <v>13</v>
      </c>
      <c r="D247" s="76">
        <v>1000</v>
      </c>
      <c r="E247" s="51">
        <f>E248</f>
        <v>240</v>
      </c>
      <c r="F247" s="59">
        <f>E247/D247*100</f>
        <v>24</v>
      </c>
      <c r="G247" s="114" t="s">
        <v>270</v>
      </c>
      <c r="H247" s="121" t="s">
        <v>294</v>
      </c>
      <c r="I247" s="114" t="s">
        <v>81</v>
      </c>
      <c r="J247" s="114" t="s">
        <v>87</v>
      </c>
      <c r="K247" s="114" t="s">
        <v>271</v>
      </c>
    </row>
    <row r="248" spans="1:11" x14ac:dyDescent="0.25">
      <c r="A248" s="100"/>
      <c r="B248" s="100"/>
      <c r="C248" s="67" t="s">
        <v>14</v>
      </c>
      <c r="D248" s="76">
        <v>1000</v>
      </c>
      <c r="E248" s="51">
        <v>240</v>
      </c>
      <c r="F248" s="59">
        <f>E248/D248*100</f>
        <v>24</v>
      </c>
      <c r="G248" s="114"/>
      <c r="H248" s="121"/>
      <c r="I248" s="114"/>
      <c r="J248" s="114"/>
      <c r="K248" s="114"/>
    </row>
    <row r="249" spans="1:11" x14ac:dyDescent="0.25">
      <c r="A249" s="100"/>
      <c r="B249" s="100"/>
      <c r="C249" s="67" t="s">
        <v>16</v>
      </c>
      <c r="D249" s="76">
        <v>0</v>
      </c>
      <c r="E249" s="51">
        <v>0</v>
      </c>
      <c r="F249" s="59"/>
      <c r="G249" s="114"/>
      <c r="H249" s="121"/>
      <c r="I249" s="114"/>
      <c r="J249" s="114"/>
      <c r="K249" s="114"/>
    </row>
    <row r="250" spans="1:11" x14ac:dyDescent="0.25">
      <c r="A250" s="100"/>
      <c r="B250" s="100"/>
      <c r="C250" s="67" t="s">
        <v>15</v>
      </c>
      <c r="D250" s="76">
        <v>0</v>
      </c>
      <c r="E250" s="51">
        <v>0</v>
      </c>
      <c r="F250" s="59"/>
      <c r="G250" s="114"/>
      <c r="H250" s="121"/>
      <c r="I250" s="114"/>
      <c r="J250" s="114"/>
      <c r="K250" s="114"/>
    </row>
    <row r="251" spans="1:11" ht="124.5" customHeight="1" x14ac:dyDescent="0.25">
      <c r="A251" s="100"/>
      <c r="B251" s="100"/>
      <c r="C251" s="67" t="s">
        <v>17</v>
      </c>
      <c r="D251" s="47">
        <v>0</v>
      </c>
      <c r="E251" s="51">
        <v>0</v>
      </c>
      <c r="F251" s="59"/>
      <c r="G251" s="114"/>
      <c r="H251" s="121"/>
      <c r="I251" s="114"/>
      <c r="J251" s="114"/>
      <c r="K251" s="114"/>
    </row>
    <row r="252" spans="1:11" ht="15" customHeight="1" x14ac:dyDescent="0.25">
      <c r="A252" s="100" t="s">
        <v>33</v>
      </c>
      <c r="B252" s="100" t="s">
        <v>151</v>
      </c>
      <c r="C252" s="67" t="s">
        <v>13</v>
      </c>
      <c r="D252" s="76">
        <f>SUM(D253:D256)</f>
        <v>1418.2</v>
      </c>
      <c r="E252" s="58">
        <f>E253+E254+E255+E256</f>
        <v>131.59</v>
      </c>
      <c r="F252" s="59">
        <f>E252/D252*100</f>
        <v>9.2786630940628978</v>
      </c>
      <c r="G252" s="91" t="s">
        <v>308</v>
      </c>
      <c r="H252" s="96" t="s">
        <v>309</v>
      </c>
      <c r="I252" s="100" t="s">
        <v>81</v>
      </c>
      <c r="J252" s="91" t="s">
        <v>92</v>
      </c>
      <c r="K252" s="91" t="s">
        <v>307</v>
      </c>
    </row>
    <row r="253" spans="1:11" x14ac:dyDescent="0.25">
      <c r="A253" s="100"/>
      <c r="B253" s="100"/>
      <c r="C253" s="67" t="s">
        <v>14</v>
      </c>
      <c r="D253" s="70">
        <v>1418.2</v>
      </c>
      <c r="E253" s="58">
        <v>131.59</v>
      </c>
      <c r="F253" s="59">
        <f>E253/D253*100</f>
        <v>9.2786630940628978</v>
      </c>
      <c r="G253" s="92"/>
      <c r="H253" s="97"/>
      <c r="I253" s="100"/>
      <c r="J253" s="92"/>
      <c r="K253" s="92"/>
    </row>
    <row r="254" spans="1:11" x14ac:dyDescent="0.25">
      <c r="A254" s="100"/>
      <c r="B254" s="100"/>
      <c r="C254" s="67" t="s">
        <v>16</v>
      </c>
      <c r="D254" s="79">
        <v>0</v>
      </c>
      <c r="E254" s="58">
        <v>0</v>
      </c>
      <c r="F254" s="59"/>
      <c r="G254" s="92"/>
      <c r="H254" s="97"/>
      <c r="I254" s="100"/>
      <c r="J254" s="92"/>
      <c r="K254" s="92"/>
    </row>
    <row r="255" spans="1:11" x14ac:dyDescent="0.25">
      <c r="A255" s="100"/>
      <c r="B255" s="100"/>
      <c r="C255" s="67" t="s">
        <v>15</v>
      </c>
      <c r="D255" s="76">
        <v>0</v>
      </c>
      <c r="E255" s="58">
        <v>0</v>
      </c>
      <c r="F255" s="59"/>
      <c r="G255" s="92"/>
      <c r="H255" s="97"/>
      <c r="I255" s="100"/>
      <c r="J255" s="92"/>
      <c r="K255" s="92"/>
    </row>
    <row r="256" spans="1:11" ht="91.5" customHeight="1" x14ac:dyDescent="0.25">
      <c r="A256" s="100"/>
      <c r="B256" s="100"/>
      <c r="C256" s="67" t="s">
        <v>17</v>
      </c>
      <c r="D256" s="47">
        <v>0</v>
      </c>
      <c r="E256" s="58">
        <v>0</v>
      </c>
      <c r="F256" s="59"/>
      <c r="G256" s="93"/>
      <c r="H256" s="112"/>
      <c r="I256" s="100"/>
      <c r="J256" s="93"/>
      <c r="K256" s="93"/>
    </row>
    <row r="257" spans="1:11" x14ac:dyDescent="0.25">
      <c r="A257" s="100" t="s">
        <v>147</v>
      </c>
      <c r="B257" s="100" t="s">
        <v>220</v>
      </c>
      <c r="C257" s="67" t="s">
        <v>13</v>
      </c>
      <c r="D257" s="76">
        <f t="shared" ref="D257" si="71">SUM(D258:D261)</f>
        <v>7500</v>
      </c>
      <c r="E257" s="58">
        <f>E258+E259+E260+E261</f>
        <v>1122.43</v>
      </c>
      <c r="F257" s="59">
        <f>E257/D257*100</f>
        <v>14.965733333333334</v>
      </c>
      <c r="G257" s="114" t="s">
        <v>275</v>
      </c>
      <c r="H257" s="121" t="s">
        <v>276</v>
      </c>
      <c r="I257" s="129" t="s">
        <v>81</v>
      </c>
      <c r="J257" s="114" t="s">
        <v>89</v>
      </c>
      <c r="K257" s="114" t="s">
        <v>277</v>
      </c>
    </row>
    <row r="258" spans="1:11" x14ac:dyDescent="0.25">
      <c r="A258" s="100"/>
      <c r="B258" s="100"/>
      <c r="C258" s="67" t="s">
        <v>14</v>
      </c>
      <c r="D258" s="76">
        <v>7500</v>
      </c>
      <c r="E258" s="58">
        <v>1122.43</v>
      </c>
      <c r="F258" s="59">
        <f>E258/D258*100</f>
        <v>14.965733333333334</v>
      </c>
      <c r="G258" s="114"/>
      <c r="H258" s="121"/>
      <c r="I258" s="129"/>
      <c r="J258" s="114"/>
      <c r="K258" s="114"/>
    </row>
    <row r="259" spans="1:11" x14ac:dyDescent="0.25">
      <c r="A259" s="100"/>
      <c r="B259" s="100"/>
      <c r="C259" s="67" t="s">
        <v>16</v>
      </c>
      <c r="D259" s="76">
        <v>0</v>
      </c>
      <c r="E259" s="58">
        <v>0</v>
      </c>
      <c r="F259" s="59"/>
      <c r="G259" s="114"/>
      <c r="H259" s="121"/>
      <c r="I259" s="129"/>
      <c r="J259" s="114"/>
      <c r="K259" s="114"/>
    </row>
    <row r="260" spans="1:11" x14ac:dyDescent="0.25">
      <c r="A260" s="100"/>
      <c r="B260" s="100"/>
      <c r="C260" s="67" t="s">
        <v>15</v>
      </c>
      <c r="D260" s="76">
        <v>0</v>
      </c>
      <c r="E260" s="58">
        <v>0</v>
      </c>
      <c r="F260" s="59"/>
      <c r="G260" s="114"/>
      <c r="H260" s="121"/>
      <c r="I260" s="129"/>
      <c r="J260" s="114"/>
      <c r="K260" s="114"/>
    </row>
    <row r="261" spans="1:11" ht="409.5" customHeight="1" x14ac:dyDescent="0.25">
      <c r="A261" s="100"/>
      <c r="B261" s="100"/>
      <c r="C261" s="67" t="s">
        <v>17</v>
      </c>
      <c r="D261" s="47">
        <v>0</v>
      </c>
      <c r="E261" s="58">
        <v>0</v>
      </c>
      <c r="F261" s="59"/>
      <c r="G261" s="114"/>
      <c r="H261" s="121"/>
      <c r="I261" s="129"/>
      <c r="J261" s="114"/>
      <c r="K261" s="114"/>
    </row>
    <row r="262" spans="1:11" x14ac:dyDescent="0.25">
      <c r="A262" s="100" t="s">
        <v>148</v>
      </c>
      <c r="B262" s="100" t="s">
        <v>152</v>
      </c>
      <c r="C262" s="67" t="s">
        <v>13</v>
      </c>
      <c r="D262" s="76">
        <f>D263+D264</f>
        <v>0</v>
      </c>
      <c r="E262" s="58">
        <f>E263+E264+E265+E266</f>
        <v>0</v>
      </c>
      <c r="F262" s="59" t="e">
        <f>E262/D262*100</f>
        <v>#DIV/0!</v>
      </c>
      <c r="G262" s="91"/>
      <c r="H262" s="91"/>
      <c r="I262" s="100"/>
      <c r="J262" s="91" t="s">
        <v>250</v>
      </c>
      <c r="K262" s="91"/>
    </row>
    <row r="263" spans="1:11" x14ac:dyDescent="0.25">
      <c r="A263" s="100"/>
      <c r="B263" s="100"/>
      <c r="C263" s="67" t="s">
        <v>14</v>
      </c>
      <c r="D263" s="76">
        <v>0</v>
      </c>
      <c r="E263" s="58"/>
      <c r="F263" s="59" t="e">
        <f>E263/D263*100</f>
        <v>#DIV/0!</v>
      </c>
      <c r="G263" s="92"/>
      <c r="H263" s="92"/>
      <c r="I263" s="100"/>
      <c r="J263" s="92"/>
      <c r="K263" s="92"/>
    </row>
    <row r="264" spans="1:11" x14ac:dyDescent="0.25">
      <c r="A264" s="100"/>
      <c r="B264" s="100"/>
      <c r="C264" s="67" t="s">
        <v>16</v>
      </c>
      <c r="D264" s="76">
        <v>0</v>
      </c>
      <c r="E264" s="58">
        <v>0</v>
      </c>
      <c r="F264" s="59"/>
      <c r="G264" s="92"/>
      <c r="H264" s="92"/>
      <c r="I264" s="100"/>
      <c r="J264" s="92"/>
      <c r="K264" s="92"/>
    </row>
    <row r="265" spans="1:11" x14ac:dyDescent="0.25">
      <c r="A265" s="100"/>
      <c r="B265" s="100"/>
      <c r="C265" s="67" t="s">
        <v>15</v>
      </c>
      <c r="D265" s="76">
        <v>0</v>
      </c>
      <c r="E265" s="58">
        <v>0</v>
      </c>
      <c r="F265" s="59"/>
      <c r="G265" s="92"/>
      <c r="H265" s="92"/>
      <c r="I265" s="100"/>
      <c r="J265" s="92"/>
      <c r="K265" s="92"/>
    </row>
    <row r="266" spans="1:11" x14ac:dyDescent="0.25">
      <c r="A266" s="100"/>
      <c r="B266" s="100"/>
      <c r="C266" s="67" t="s">
        <v>17</v>
      </c>
      <c r="D266" s="47">
        <v>0</v>
      </c>
      <c r="E266" s="58">
        <v>0</v>
      </c>
      <c r="F266" s="59"/>
      <c r="G266" s="93"/>
      <c r="H266" s="93"/>
      <c r="I266" s="100"/>
      <c r="J266" s="93"/>
      <c r="K266" s="93"/>
    </row>
    <row r="267" spans="1:11" s="50" customFormat="1" ht="15" customHeight="1" x14ac:dyDescent="0.25">
      <c r="A267" s="100" t="s">
        <v>149</v>
      </c>
      <c r="B267" s="100" t="s">
        <v>153</v>
      </c>
      <c r="C267" s="67" t="s">
        <v>13</v>
      </c>
      <c r="D267" s="47">
        <f t="shared" ref="D267" si="72">SUM(D268:D271)</f>
        <v>0</v>
      </c>
      <c r="E267" s="58">
        <f>E268+E269+E270+E271</f>
        <v>0</v>
      </c>
      <c r="F267" s="59" t="e">
        <f>E267/D267*100</f>
        <v>#DIV/0!</v>
      </c>
      <c r="G267" s="115"/>
      <c r="H267" s="115"/>
      <c r="I267" s="100"/>
      <c r="J267" s="114" t="s">
        <v>89</v>
      </c>
      <c r="K267" s="91"/>
    </row>
    <row r="268" spans="1:11" s="50" customFormat="1" x14ac:dyDescent="0.25">
      <c r="A268" s="100"/>
      <c r="B268" s="100"/>
      <c r="C268" s="67" t="s">
        <v>14</v>
      </c>
      <c r="D268" s="47">
        <v>0</v>
      </c>
      <c r="E268" s="58">
        <v>0</v>
      </c>
      <c r="F268" s="59"/>
      <c r="G268" s="116"/>
      <c r="H268" s="116"/>
      <c r="I268" s="100"/>
      <c r="J268" s="114"/>
      <c r="K268" s="92"/>
    </row>
    <row r="269" spans="1:11" s="50" customFormat="1" x14ac:dyDescent="0.25">
      <c r="A269" s="100"/>
      <c r="B269" s="100"/>
      <c r="C269" s="67" t="s">
        <v>16</v>
      </c>
      <c r="D269" s="47">
        <v>0</v>
      </c>
      <c r="E269" s="58"/>
      <c r="F269" s="59" t="e">
        <f>E269/D269*100</f>
        <v>#DIV/0!</v>
      </c>
      <c r="G269" s="116"/>
      <c r="H269" s="116"/>
      <c r="I269" s="100"/>
      <c r="J269" s="114"/>
      <c r="K269" s="92"/>
    </row>
    <row r="270" spans="1:11" s="50" customFormat="1" x14ac:dyDescent="0.25">
      <c r="A270" s="100"/>
      <c r="B270" s="100"/>
      <c r="C270" s="67" t="s">
        <v>15</v>
      </c>
      <c r="D270" s="47">
        <v>0</v>
      </c>
      <c r="E270" s="58">
        <v>0</v>
      </c>
      <c r="F270" s="59"/>
      <c r="G270" s="116"/>
      <c r="H270" s="116"/>
      <c r="I270" s="100"/>
      <c r="J270" s="114"/>
      <c r="K270" s="92"/>
    </row>
    <row r="271" spans="1:11" s="50" customFormat="1" x14ac:dyDescent="0.25">
      <c r="A271" s="100"/>
      <c r="B271" s="100"/>
      <c r="C271" s="67" t="s">
        <v>17</v>
      </c>
      <c r="D271" s="47">
        <v>0</v>
      </c>
      <c r="E271" s="58">
        <v>0</v>
      </c>
      <c r="F271" s="59"/>
      <c r="G271" s="116"/>
      <c r="H271" s="116"/>
      <c r="I271" s="100"/>
      <c r="J271" s="114"/>
      <c r="K271" s="92"/>
    </row>
    <row r="272" spans="1:11" s="50" customFormat="1" x14ac:dyDescent="0.25">
      <c r="A272" s="100" t="s">
        <v>150</v>
      </c>
      <c r="B272" s="100" t="s">
        <v>154</v>
      </c>
      <c r="C272" s="67" t="s">
        <v>13</v>
      </c>
      <c r="D272" s="47">
        <f t="shared" ref="D272" si="73">SUM(D273:D276)</f>
        <v>0</v>
      </c>
      <c r="E272" s="58">
        <f>E273+E274+E275+E276</f>
        <v>0</v>
      </c>
      <c r="F272" s="59" t="e">
        <f>E272/D272*100</f>
        <v>#DIV/0!</v>
      </c>
      <c r="G272" s="115"/>
      <c r="H272" s="115"/>
      <c r="I272" s="100"/>
      <c r="J272" s="91" t="s">
        <v>89</v>
      </c>
      <c r="K272" s="94"/>
    </row>
    <row r="273" spans="1:11" s="50" customFormat="1" x14ac:dyDescent="0.25">
      <c r="A273" s="100"/>
      <c r="B273" s="100"/>
      <c r="C273" s="67" t="s">
        <v>14</v>
      </c>
      <c r="D273" s="47">
        <v>0</v>
      </c>
      <c r="E273" s="58"/>
      <c r="F273" s="59" t="e">
        <f>E273/D273*100</f>
        <v>#DIV/0!</v>
      </c>
      <c r="G273" s="116"/>
      <c r="H273" s="116"/>
      <c r="I273" s="100"/>
      <c r="J273" s="92"/>
      <c r="K273" s="94"/>
    </row>
    <row r="274" spans="1:11" s="50" customFormat="1" x14ac:dyDescent="0.25">
      <c r="A274" s="100"/>
      <c r="B274" s="100"/>
      <c r="C274" s="67" t="s">
        <v>16</v>
      </c>
      <c r="D274" s="47">
        <v>0</v>
      </c>
      <c r="E274" s="58">
        <v>0</v>
      </c>
      <c r="F274" s="59"/>
      <c r="G274" s="116"/>
      <c r="H274" s="116"/>
      <c r="I274" s="100"/>
      <c r="J274" s="92"/>
      <c r="K274" s="94"/>
    </row>
    <row r="275" spans="1:11" s="50" customFormat="1" x14ac:dyDescent="0.25">
      <c r="A275" s="100"/>
      <c r="B275" s="100"/>
      <c r="C275" s="67" t="s">
        <v>15</v>
      </c>
      <c r="D275" s="47">
        <v>0</v>
      </c>
      <c r="E275" s="58">
        <v>0</v>
      </c>
      <c r="F275" s="59"/>
      <c r="G275" s="116"/>
      <c r="H275" s="116"/>
      <c r="I275" s="100"/>
      <c r="J275" s="92"/>
      <c r="K275" s="94"/>
    </row>
    <row r="276" spans="1:11" s="50" customFormat="1" ht="57.75" customHeight="1" x14ac:dyDescent="0.25">
      <c r="A276" s="100"/>
      <c r="B276" s="100"/>
      <c r="C276" s="67" t="s">
        <v>17</v>
      </c>
      <c r="D276" s="47">
        <v>0</v>
      </c>
      <c r="E276" s="58">
        <v>0</v>
      </c>
      <c r="F276" s="59"/>
      <c r="G276" s="116"/>
      <c r="H276" s="116"/>
      <c r="I276" s="100"/>
      <c r="J276" s="93"/>
      <c r="K276" s="95"/>
    </row>
    <row r="277" spans="1:11" s="37" customFormat="1" x14ac:dyDescent="0.25">
      <c r="A277" s="113" t="s">
        <v>74</v>
      </c>
      <c r="B277" s="113" t="s">
        <v>244</v>
      </c>
      <c r="C277" s="68" t="s">
        <v>13</v>
      </c>
      <c r="D277" s="86">
        <f>SUM(D278:D281)</f>
        <v>40212.800000000003</v>
      </c>
      <c r="E277" s="55">
        <f>E278+E279+E280+E281</f>
        <v>22214.025000000001</v>
      </c>
      <c r="F277" s="56">
        <f>E277/D277*100</f>
        <v>55.241179425456565</v>
      </c>
      <c r="G277" s="117"/>
      <c r="H277" s="29" t="s">
        <v>18</v>
      </c>
      <c r="I277" s="21">
        <f>I282</f>
        <v>5</v>
      </c>
      <c r="J277" s="120" t="s">
        <v>250</v>
      </c>
      <c r="K277" s="117"/>
    </row>
    <row r="278" spans="1:11" s="37" customFormat="1" x14ac:dyDescent="0.25">
      <c r="A278" s="113"/>
      <c r="B278" s="113"/>
      <c r="C278" s="68" t="s">
        <v>14</v>
      </c>
      <c r="D278" s="86">
        <f t="shared" ref="D278:D279" si="74">D283</f>
        <v>34336</v>
      </c>
      <c r="E278" s="55">
        <f>E283</f>
        <v>19479.09</v>
      </c>
      <c r="F278" s="56">
        <f>E278/D278*100</f>
        <v>56.73080731593663</v>
      </c>
      <c r="G278" s="118"/>
      <c r="H278" s="29" t="s">
        <v>19</v>
      </c>
      <c r="I278" s="21">
        <f>I283</f>
        <v>0</v>
      </c>
      <c r="J278" s="120"/>
      <c r="K278" s="118"/>
    </row>
    <row r="279" spans="1:11" s="37" customFormat="1" x14ac:dyDescent="0.25">
      <c r="A279" s="113"/>
      <c r="B279" s="113"/>
      <c r="C279" s="68" t="s">
        <v>16</v>
      </c>
      <c r="D279" s="86">
        <f t="shared" si="74"/>
        <v>5876.7999999999993</v>
      </c>
      <c r="E279" s="55">
        <f t="shared" ref="E279:E281" si="75">E284</f>
        <v>2734.9349999999999</v>
      </c>
      <c r="F279" s="56">
        <f>E279/D279*100</f>
        <v>46.537826708412744</v>
      </c>
      <c r="G279" s="118"/>
      <c r="H279" s="29" t="s">
        <v>20</v>
      </c>
      <c r="I279" s="21">
        <f>I284</f>
        <v>5</v>
      </c>
      <c r="J279" s="120"/>
      <c r="K279" s="118"/>
    </row>
    <row r="280" spans="1:11" s="37" customFormat="1" x14ac:dyDescent="0.25">
      <c r="A280" s="113"/>
      <c r="B280" s="113"/>
      <c r="C280" s="68" t="s">
        <v>15</v>
      </c>
      <c r="D280" s="87">
        <v>0</v>
      </c>
      <c r="E280" s="55">
        <f t="shared" si="75"/>
        <v>0</v>
      </c>
      <c r="F280" s="56"/>
      <c r="G280" s="118"/>
      <c r="H280" s="29" t="s">
        <v>21</v>
      </c>
      <c r="I280" s="21">
        <f>I285</f>
        <v>0</v>
      </c>
      <c r="J280" s="120"/>
      <c r="K280" s="118"/>
    </row>
    <row r="281" spans="1:11" s="37" customFormat="1" ht="50.25" customHeight="1" x14ac:dyDescent="0.25">
      <c r="A281" s="113"/>
      <c r="B281" s="113"/>
      <c r="C281" s="68" t="s">
        <v>17</v>
      </c>
      <c r="D281" s="87">
        <v>0</v>
      </c>
      <c r="E281" s="55">
        <f t="shared" si="75"/>
        <v>0</v>
      </c>
      <c r="F281" s="56"/>
      <c r="G281" s="119"/>
      <c r="H281" s="29" t="s">
        <v>22</v>
      </c>
      <c r="I281" s="30">
        <f>I278/I277*100</f>
        <v>0</v>
      </c>
      <c r="J281" s="120"/>
      <c r="K281" s="119"/>
    </row>
    <row r="282" spans="1:11" x14ac:dyDescent="0.25">
      <c r="A282" s="104" t="s">
        <v>75</v>
      </c>
      <c r="B282" s="104" t="s">
        <v>156</v>
      </c>
      <c r="C282" s="66" t="s">
        <v>13</v>
      </c>
      <c r="D282" s="80">
        <f t="shared" ref="D282" si="76">SUM(D283:D286)</f>
        <v>40212.800000000003</v>
      </c>
      <c r="E282" s="43">
        <f>E283+E284+E285+E286</f>
        <v>22214.025000000001</v>
      </c>
      <c r="F282" s="57">
        <f>E282/D282*100</f>
        <v>55.241179425456565</v>
      </c>
      <c r="G282" s="105"/>
      <c r="H282" s="25" t="s">
        <v>18</v>
      </c>
      <c r="I282" s="20">
        <f>COUNTA(I287:I311)</f>
        <v>5</v>
      </c>
      <c r="J282" s="109" t="s">
        <v>250</v>
      </c>
      <c r="K282" s="109"/>
    </row>
    <row r="283" spans="1:11" x14ac:dyDescent="0.25">
      <c r="A283" s="104"/>
      <c r="B283" s="104"/>
      <c r="C283" s="66" t="s">
        <v>14</v>
      </c>
      <c r="D283" s="80">
        <f t="shared" ref="D283:D286" si="77">D288+D293+D298+D303+D308</f>
        <v>34336</v>
      </c>
      <c r="E283" s="43">
        <f>E288+E293+E298+E303+E308</f>
        <v>19479.09</v>
      </c>
      <c r="F283" s="57">
        <f>E283/D283*100</f>
        <v>56.73080731593663</v>
      </c>
      <c r="G283" s="105"/>
      <c r="H283" s="25" t="s">
        <v>19</v>
      </c>
      <c r="I283" s="20">
        <f>COUNTIF(I287:I311,"да")</f>
        <v>0</v>
      </c>
      <c r="J283" s="110"/>
      <c r="K283" s="110"/>
    </row>
    <row r="284" spans="1:11" x14ac:dyDescent="0.25">
      <c r="A284" s="104"/>
      <c r="B284" s="104"/>
      <c r="C284" s="66" t="s">
        <v>16</v>
      </c>
      <c r="D284" s="80">
        <f t="shared" si="77"/>
        <v>5876.7999999999993</v>
      </c>
      <c r="E284" s="43">
        <f t="shared" ref="E284:E286" si="78">E289+E294+E299+E304+E309</f>
        <v>2734.9349999999999</v>
      </c>
      <c r="F284" s="57">
        <f>E284/D284*100</f>
        <v>46.537826708412744</v>
      </c>
      <c r="G284" s="105"/>
      <c r="H284" s="25" t="s">
        <v>20</v>
      </c>
      <c r="I284" s="20">
        <f>COUNTIF(I287:I311,"частично")</f>
        <v>5</v>
      </c>
      <c r="J284" s="110"/>
      <c r="K284" s="110"/>
    </row>
    <row r="285" spans="1:11" x14ac:dyDescent="0.25">
      <c r="A285" s="104"/>
      <c r="B285" s="104"/>
      <c r="C285" s="66" t="s">
        <v>15</v>
      </c>
      <c r="D285" s="81">
        <f t="shared" si="77"/>
        <v>0</v>
      </c>
      <c r="E285" s="43">
        <f t="shared" si="78"/>
        <v>0</v>
      </c>
      <c r="F285" s="57"/>
      <c r="G285" s="105"/>
      <c r="H285" s="25" t="s">
        <v>21</v>
      </c>
      <c r="I285" s="20">
        <f>COUNTIF(I287:I311,"нет")</f>
        <v>0</v>
      </c>
      <c r="J285" s="110"/>
      <c r="K285" s="110"/>
    </row>
    <row r="286" spans="1:11" ht="75.599999999999994" customHeight="1" x14ac:dyDescent="0.25">
      <c r="A286" s="104"/>
      <c r="B286" s="104"/>
      <c r="C286" s="66" t="s">
        <v>17</v>
      </c>
      <c r="D286" s="47">
        <f t="shared" si="77"/>
        <v>0</v>
      </c>
      <c r="E286" s="43">
        <f t="shared" si="78"/>
        <v>0</v>
      </c>
      <c r="F286" s="57"/>
      <c r="G286" s="105"/>
      <c r="H286" s="25" t="s">
        <v>22</v>
      </c>
      <c r="I286" s="31">
        <f>I283/I282*100</f>
        <v>0</v>
      </c>
      <c r="J286" s="111"/>
      <c r="K286" s="111"/>
    </row>
    <row r="287" spans="1:11" s="50" customFormat="1" x14ac:dyDescent="0.25">
      <c r="A287" s="100" t="s">
        <v>76</v>
      </c>
      <c r="B287" s="100" t="s">
        <v>79</v>
      </c>
      <c r="C287" s="67" t="s">
        <v>13</v>
      </c>
      <c r="D287" s="80">
        <f t="shared" ref="D287" si="79">SUM(D288:D291)</f>
        <v>33985</v>
      </c>
      <c r="E287" s="58">
        <f>E288+E289+E290+E291</f>
        <v>19367.63</v>
      </c>
      <c r="F287" s="59">
        <f>E287/D287*100</f>
        <v>56.988759746947181</v>
      </c>
      <c r="G287" s="91" t="s">
        <v>216</v>
      </c>
      <c r="H287" s="91" t="s">
        <v>216</v>
      </c>
      <c r="I287" s="100" t="s">
        <v>81</v>
      </c>
      <c r="J287" s="91" t="s">
        <v>250</v>
      </c>
      <c r="K287" s="91"/>
    </row>
    <row r="288" spans="1:11" s="50" customFormat="1" ht="14.4" x14ac:dyDescent="0.25">
      <c r="A288" s="100"/>
      <c r="B288" s="100"/>
      <c r="C288" s="67" t="s">
        <v>14</v>
      </c>
      <c r="D288" s="80">
        <v>33985</v>
      </c>
      <c r="E288" s="60">
        <v>19367.63</v>
      </c>
      <c r="F288" s="59">
        <f>E288/D288*100</f>
        <v>56.988759746947181</v>
      </c>
      <c r="G288" s="92"/>
      <c r="H288" s="92"/>
      <c r="I288" s="100"/>
      <c r="J288" s="92"/>
      <c r="K288" s="92"/>
    </row>
    <row r="289" spans="1:11" s="50" customFormat="1" x14ac:dyDescent="0.25">
      <c r="A289" s="100"/>
      <c r="B289" s="100"/>
      <c r="C289" s="67" t="s">
        <v>16</v>
      </c>
      <c r="D289" s="81">
        <v>0</v>
      </c>
      <c r="E289" s="58">
        <v>0</v>
      </c>
      <c r="F289" s="59"/>
      <c r="G289" s="92"/>
      <c r="H289" s="92"/>
      <c r="I289" s="100"/>
      <c r="J289" s="92"/>
      <c r="K289" s="92"/>
    </row>
    <row r="290" spans="1:11" s="50" customFormat="1" x14ac:dyDescent="0.25">
      <c r="A290" s="100"/>
      <c r="B290" s="100"/>
      <c r="C290" s="67" t="s">
        <v>15</v>
      </c>
      <c r="D290" s="81">
        <v>0</v>
      </c>
      <c r="E290" s="58">
        <v>0</v>
      </c>
      <c r="F290" s="59"/>
      <c r="G290" s="92"/>
      <c r="H290" s="92"/>
      <c r="I290" s="100"/>
      <c r="J290" s="92"/>
      <c r="K290" s="92"/>
    </row>
    <row r="291" spans="1:11" s="50" customFormat="1" x14ac:dyDescent="0.25">
      <c r="A291" s="100"/>
      <c r="B291" s="100"/>
      <c r="C291" s="67" t="s">
        <v>17</v>
      </c>
      <c r="D291" s="81">
        <v>0</v>
      </c>
      <c r="E291" s="58">
        <v>0</v>
      </c>
      <c r="F291" s="59"/>
      <c r="G291" s="93"/>
      <c r="H291" s="93"/>
      <c r="I291" s="100"/>
      <c r="J291" s="93"/>
      <c r="K291" s="93"/>
    </row>
    <row r="292" spans="1:11" s="50" customFormat="1" x14ac:dyDescent="0.25">
      <c r="A292" s="100" t="s">
        <v>77</v>
      </c>
      <c r="B292" s="100" t="s">
        <v>80</v>
      </c>
      <c r="C292" s="67" t="s">
        <v>13</v>
      </c>
      <c r="D292" s="80">
        <f t="shared" ref="D292" si="80">SUM(D293:D296)</f>
        <v>351</v>
      </c>
      <c r="E292" s="58">
        <f>E293+E294+E295+E296</f>
        <v>111.46</v>
      </c>
      <c r="F292" s="59">
        <f>E292/D292*100</f>
        <v>31.754985754985753</v>
      </c>
      <c r="G292" s="91" t="s">
        <v>223</v>
      </c>
      <c r="H292" s="91" t="s">
        <v>223</v>
      </c>
      <c r="I292" s="100" t="s">
        <v>81</v>
      </c>
      <c r="J292" s="91" t="s">
        <v>250</v>
      </c>
      <c r="K292" s="91"/>
    </row>
    <row r="293" spans="1:11" s="50" customFormat="1" ht="14.4" x14ac:dyDescent="0.25">
      <c r="A293" s="100"/>
      <c r="B293" s="100"/>
      <c r="C293" s="67" t="s">
        <v>14</v>
      </c>
      <c r="D293" s="80">
        <v>351</v>
      </c>
      <c r="E293" s="60">
        <v>111.46</v>
      </c>
      <c r="F293" s="59">
        <f>E293/D293*100</f>
        <v>31.754985754985753</v>
      </c>
      <c r="G293" s="92"/>
      <c r="H293" s="92"/>
      <c r="I293" s="100"/>
      <c r="J293" s="92"/>
      <c r="K293" s="92"/>
    </row>
    <row r="294" spans="1:11" s="50" customFormat="1" x14ac:dyDescent="0.25">
      <c r="A294" s="100"/>
      <c r="B294" s="100"/>
      <c r="C294" s="67" t="s">
        <v>16</v>
      </c>
      <c r="D294" s="81">
        <v>0</v>
      </c>
      <c r="E294" s="58">
        <v>0</v>
      </c>
      <c r="F294" s="59"/>
      <c r="G294" s="92"/>
      <c r="H294" s="92"/>
      <c r="I294" s="100"/>
      <c r="J294" s="92"/>
      <c r="K294" s="92"/>
    </row>
    <row r="295" spans="1:11" s="50" customFormat="1" x14ac:dyDescent="0.25">
      <c r="A295" s="100"/>
      <c r="B295" s="100"/>
      <c r="C295" s="67" t="s">
        <v>15</v>
      </c>
      <c r="D295" s="81">
        <v>0</v>
      </c>
      <c r="E295" s="58">
        <v>0</v>
      </c>
      <c r="F295" s="59"/>
      <c r="G295" s="92"/>
      <c r="H295" s="92"/>
      <c r="I295" s="100"/>
      <c r="J295" s="92"/>
      <c r="K295" s="92"/>
    </row>
    <row r="296" spans="1:11" s="50" customFormat="1" ht="40.5" customHeight="1" x14ac:dyDescent="0.25">
      <c r="A296" s="100"/>
      <c r="B296" s="100"/>
      <c r="C296" s="67" t="s">
        <v>17</v>
      </c>
      <c r="D296" s="81">
        <v>0</v>
      </c>
      <c r="E296" s="58">
        <v>0</v>
      </c>
      <c r="F296" s="59"/>
      <c r="G296" s="93"/>
      <c r="H296" s="93"/>
      <c r="I296" s="100"/>
      <c r="J296" s="93"/>
      <c r="K296" s="93"/>
    </row>
    <row r="297" spans="1:11" s="50" customFormat="1" x14ac:dyDescent="0.25">
      <c r="A297" s="100" t="s">
        <v>78</v>
      </c>
      <c r="B297" s="100" t="s">
        <v>157</v>
      </c>
      <c r="C297" s="67" t="s">
        <v>13</v>
      </c>
      <c r="D297" s="80">
        <f t="shared" ref="D297" si="81">SUM(D298:D301)</f>
        <v>5409.9</v>
      </c>
      <c r="E297" s="58">
        <f>E298+E299+E300+E301</f>
        <v>2588.02</v>
      </c>
      <c r="F297" s="59">
        <f>E297/D297*100</f>
        <v>47.838592210576905</v>
      </c>
      <c r="G297" s="91" t="s">
        <v>217</v>
      </c>
      <c r="H297" s="91" t="s">
        <v>217</v>
      </c>
      <c r="I297" s="100" t="s">
        <v>81</v>
      </c>
      <c r="J297" s="91" t="s">
        <v>250</v>
      </c>
      <c r="K297" s="91"/>
    </row>
    <row r="298" spans="1:11" s="50" customFormat="1" x14ac:dyDescent="0.25">
      <c r="A298" s="100"/>
      <c r="B298" s="100"/>
      <c r="C298" s="67" t="s">
        <v>14</v>
      </c>
      <c r="D298" s="80">
        <v>0</v>
      </c>
      <c r="E298" s="58"/>
      <c r="F298" s="59"/>
      <c r="G298" s="92"/>
      <c r="H298" s="92"/>
      <c r="I298" s="100"/>
      <c r="J298" s="92"/>
      <c r="K298" s="92"/>
    </row>
    <row r="299" spans="1:11" s="50" customFormat="1" x14ac:dyDescent="0.25">
      <c r="A299" s="100"/>
      <c r="B299" s="100"/>
      <c r="C299" s="67" t="s">
        <v>16</v>
      </c>
      <c r="D299" s="80">
        <v>5409.9</v>
      </c>
      <c r="E299" s="58">
        <v>2588.02</v>
      </c>
      <c r="F299" s="59">
        <f>E299/D299*100</f>
        <v>47.838592210576905</v>
      </c>
      <c r="G299" s="92"/>
      <c r="H299" s="92"/>
      <c r="I299" s="100"/>
      <c r="J299" s="92"/>
      <c r="K299" s="92"/>
    </row>
    <row r="300" spans="1:11" s="50" customFormat="1" x14ac:dyDescent="0.25">
      <c r="A300" s="100"/>
      <c r="B300" s="100"/>
      <c r="C300" s="67" t="s">
        <v>15</v>
      </c>
      <c r="D300" s="81">
        <v>0</v>
      </c>
      <c r="E300" s="58">
        <v>0</v>
      </c>
      <c r="F300" s="59"/>
      <c r="G300" s="92"/>
      <c r="H300" s="92"/>
      <c r="I300" s="100"/>
      <c r="J300" s="92"/>
      <c r="K300" s="92"/>
    </row>
    <row r="301" spans="1:11" s="50" customFormat="1" ht="85.2" customHeight="1" x14ac:dyDescent="0.25">
      <c r="A301" s="100"/>
      <c r="B301" s="100"/>
      <c r="C301" s="67" t="s">
        <v>17</v>
      </c>
      <c r="D301" s="47">
        <v>0</v>
      </c>
      <c r="E301" s="58">
        <v>0</v>
      </c>
      <c r="F301" s="59"/>
      <c r="G301" s="93"/>
      <c r="H301" s="93"/>
      <c r="I301" s="100"/>
      <c r="J301" s="93"/>
      <c r="K301" s="93"/>
    </row>
    <row r="302" spans="1:11" ht="15" customHeight="1" x14ac:dyDescent="0.25">
      <c r="A302" s="100" t="s">
        <v>158</v>
      </c>
      <c r="B302" s="100" t="s">
        <v>160</v>
      </c>
      <c r="C302" s="67" t="s">
        <v>13</v>
      </c>
      <c r="D302" s="81">
        <f t="shared" ref="D302" si="82">SUM(D303:D306)</f>
        <v>102</v>
      </c>
      <c r="E302" s="58">
        <f>E303+E304+E305+E306</f>
        <v>47.93</v>
      </c>
      <c r="F302" s="59">
        <f>E302/D302*100</f>
        <v>46.990196078431374</v>
      </c>
      <c r="G302" s="91" t="s">
        <v>217</v>
      </c>
      <c r="H302" s="91" t="s">
        <v>217</v>
      </c>
      <c r="I302" s="100" t="s">
        <v>81</v>
      </c>
      <c r="J302" s="91" t="s">
        <v>250</v>
      </c>
      <c r="K302" s="91"/>
    </row>
    <row r="303" spans="1:11" x14ac:dyDescent="0.25">
      <c r="A303" s="100"/>
      <c r="B303" s="100"/>
      <c r="C303" s="67" t="s">
        <v>14</v>
      </c>
      <c r="D303" s="81">
        <v>0</v>
      </c>
      <c r="E303" s="58">
        <v>0</v>
      </c>
      <c r="F303" s="59"/>
      <c r="G303" s="92"/>
      <c r="H303" s="92"/>
      <c r="I303" s="100"/>
      <c r="J303" s="92"/>
      <c r="K303" s="92"/>
    </row>
    <row r="304" spans="1:11" ht="14.4" x14ac:dyDescent="0.25">
      <c r="A304" s="100"/>
      <c r="B304" s="100"/>
      <c r="C304" s="67" t="s">
        <v>16</v>
      </c>
      <c r="D304" s="81">
        <v>102</v>
      </c>
      <c r="E304" s="60">
        <v>47.93</v>
      </c>
      <c r="F304" s="59">
        <f>E304/D304*100</f>
        <v>46.990196078431374</v>
      </c>
      <c r="G304" s="92"/>
      <c r="H304" s="92"/>
      <c r="I304" s="100"/>
      <c r="J304" s="92"/>
      <c r="K304" s="92"/>
    </row>
    <row r="305" spans="1:11" x14ac:dyDescent="0.25">
      <c r="A305" s="100"/>
      <c r="B305" s="100"/>
      <c r="C305" s="67" t="s">
        <v>15</v>
      </c>
      <c r="D305" s="81">
        <v>0</v>
      </c>
      <c r="E305" s="58">
        <v>0</v>
      </c>
      <c r="F305" s="59"/>
      <c r="G305" s="92"/>
      <c r="H305" s="92"/>
      <c r="I305" s="100"/>
      <c r="J305" s="92"/>
      <c r="K305" s="92"/>
    </row>
    <row r="306" spans="1:11" ht="30" customHeight="1" x14ac:dyDescent="0.25">
      <c r="A306" s="100"/>
      <c r="B306" s="100"/>
      <c r="C306" s="67" t="s">
        <v>17</v>
      </c>
      <c r="D306" s="81">
        <v>0</v>
      </c>
      <c r="E306" s="58">
        <v>0</v>
      </c>
      <c r="F306" s="59"/>
      <c r="G306" s="93"/>
      <c r="H306" s="93"/>
      <c r="I306" s="100"/>
      <c r="J306" s="93"/>
      <c r="K306" s="93"/>
    </row>
    <row r="307" spans="1:11" x14ac:dyDescent="0.25">
      <c r="A307" s="100" t="s">
        <v>159</v>
      </c>
      <c r="B307" s="100" t="s">
        <v>135</v>
      </c>
      <c r="C307" s="67" t="s">
        <v>13</v>
      </c>
      <c r="D307" s="81">
        <f t="shared" ref="D307" si="83">SUM(D308:D311)</f>
        <v>364.9</v>
      </c>
      <c r="E307" s="58">
        <f>E308+E309+E310+E311</f>
        <v>98.984999999999999</v>
      </c>
      <c r="F307" s="59">
        <f>E307/D307*100</f>
        <v>27.126610030145248</v>
      </c>
      <c r="G307" s="91" t="s">
        <v>217</v>
      </c>
      <c r="H307" s="91" t="s">
        <v>217</v>
      </c>
      <c r="I307" s="100" t="s">
        <v>81</v>
      </c>
      <c r="J307" s="91" t="s">
        <v>250</v>
      </c>
      <c r="K307" s="91"/>
    </row>
    <row r="308" spans="1:11" x14ac:dyDescent="0.25">
      <c r="A308" s="100"/>
      <c r="B308" s="100"/>
      <c r="C308" s="67" t="s">
        <v>14</v>
      </c>
      <c r="D308" s="81">
        <v>0</v>
      </c>
      <c r="E308" s="58">
        <v>0</v>
      </c>
      <c r="F308" s="59"/>
      <c r="G308" s="92"/>
      <c r="H308" s="92"/>
      <c r="I308" s="100"/>
      <c r="J308" s="92"/>
      <c r="K308" s="92"/>
    </row>
    <row r="309" spans="1:11" ht="14.4" x14ac:dyDescent="0.25">
      <c r="A309" s="100"/>
      <c r="B309" s="100"/>
      <c r="C309" s="67" t="s">
        <v>16</v>
      </c>
      <c r="D309" s="81">
        <v>364.9</v>
      </c>
      <c r="E309" s="60">
        <v>98.984999999999999</v>
      </c>
      <c r="F309" s="59">
        <f>E309/D309*100</f>
        <v>27.126610030145248</v>
      </c>
      <c r="G309" s="92"/>
      <c r="H309" s="92"/>
      <c r="I309" s="100"/>
      <c r="J309" s="92"/>
      <c r="K309" s="92"/>
    </row>
    <row r="310" spans="1:11" x14ac:dyDescent="0.25">
      <c r="A310" s="100"/>
      <c r="B310" s="100"/>
      <c r="C310" s="67" t="s">
        <v>15</v>
      </c>
      <c r="D310" s="81">
        <v>0</v>
      </c>
      <c r="E310" s="58">
        <v>0</v>
      </c>
      <c r="F310" s="59"/>
      <c r="G310" s="92"/>
      <c r="H310" s="92"/>
      <c r="I310" s="100"/>
      <c r="J310" s="92"/>
      <c r="K310" s="92"/>
    </row>
    <row r="311" spans="1:11" ht="75" customHeight="1" x14ac:dyDescent="0.25">
      <c r="A311" s="100"/>
      <c r="B311" s="100"/>
      <c r="C311" s="67" t="s">
        <v>17</v>
      </c>
      <c r="D311" s="47">
        <v>0</v>
      </c>
      <c r="E311" s="58">
        <v>0</v>
      </c>
      <c r="F311" s="59"/>
      <c r="G311" s="93"/>
      <c r="H311" s="93"/>
      <c r="I311" s="100"/>
      <c r="J311" s="93"/>
      <c r="K311" s="93"/>
    </row>
  </sheetData>
  <mergeCells count="375">
    <mergeCell ref="A52:A56"/>
    <mergeCell ref="B52:B56"/>
    <mergeCell ref="G57:G61"/>
    <mergeCell ref="K57:K61"/>
    <mergeCell ref="B57:B61"/>
    <mergeCell ref="A57:A61"/>
    <mergeCell ref="J57:J61"/>
    <mergeCell ref="G37:G41"/>
    <mergeCell ref="G42:G46"/>
    <mergeCell ref="J37:J41"/>
    <mergeCell ref="A47:A51"/>
    <mergeCell ref="B47:B51"/>
    <mergeCell ref="G47:G51"/>
    <mergeCell ref="J47:J51"/>
    <mergeCell ref="K47:K51"/>
    <mergeCell ref="G52:G56"/>
    <mergeCell ref="J52:J56"/>
    <mergeCell ref="K52:K56"/>
    <mergeCell ref="B7:B11"/>
    <mergeCell ref="A7:A11"/>
    <mergeCell ref="G7:G11"/>
    <mergeCell ref="J7:J11"/>
    <mergeCell ref="K7:K11"/>
    <mergeCell ref="A37:A41"/>
    <mergeCell ref="B37:B41"/>
    <mergeCell ref="A42:A46"/>
    <mergeCell ref="B42:B46"/>
    <mergeCell ref="J22:J26"/>
    <mergeCell ref="K22:K26"/>
    <mergeCell ref="A27:A31"/>
    <mergeCell ref="B27:B31"/>
    <mergeCell ref="G27:G31"/>
    <mergeCell ref="J27:J31"/>
    <mergeCell ref="K27:K31"/>
    <mergeCell ref="J42:J46"/>
    <mergeCell ref="K32:K36"/>
    <mergeCell ref="K37:K41"/>
    <mergeCell ref="K42:K46"/>
    <mergeCell ref="C5:E5"/>
    <mergeCell ref="G5:I5"/>
    <mergeCell ref="K5:K6"/>
    <mergeCell ref="A5:A6"/>
    <mergeCell ref="B5:B6"/>
    <mergeCell ref="F5:F6"/>
    <mergeCell ref="J5:J6"/>
    <mergeCell ref="A32:A36"/>
    <mergeCell ref="B32:B36"/>
    <mergeCell ref="G32:G36"/>
    <mergeCell ref="J32:J36"/>
    <mergeCell ref="A12:A16"/>
    <mergeCell ref="B12:B16"/>
    <mergeCell ref="G12:G16"/>
    <mergeCell ref="J12:J16"/>
    <mergeCell ref="K12:K16"/>
    <mergeCell ref="A17:A21"/>
    <mergeCell ref="B17:B21"/>
    <mergeCell ref="G17:G21"/>
    <mergeCell ref="J17:J21"/>
    <mergeCell ref="K17:K21"/>
    <mergeCell ref="A22:A26"/>
    <mergeCell ref="B22:B26"/>
    <mergeCell ref="G22:G26"/>
    <mergeCell ref="K62:K86"/>
    <mergeCell ref="G107:G121"/>
    <mergeCell ref="H107:H121"/>
    <mergeCell ref="G72:G76"/>
    <mergeCell ref="J72:J76"/>
    <mergeCell ref="H72:H76"/>
    <mergeCell ref="I72:I76"/>
    <mergeCell ref="J62:J66"/>
    <mergeCell ref="A67:A71"/>
    <mergeCell ref="B67:B71"/>
    <mergeCell ref="G67:G71"/>
    <mergeCell ref="H67:H71"/>
    <mergeCell ref="I67:I71"/>
    <mergeCell ref="J67:J71"/>
    <mergeCell ref="A62:A66"/>
    <mergeCell ref="B62:B66"/>
    <mergeCell ref="K87:K91"/>
    <mergeCell ref="A92:A96"/>
    <mergeCell ref="B92:B96"/>
    <mergeCell ref="G92:G96"/>
    <mergeCell ref="H92:H96"/>
    <mergeCell ref="I92:I96"/>
    <mergeCell ref="J92:J96"/>
    <mergeCell ref="A102:A106"/>
    <mergeCell ref="A267:A271"/>
    <mergeCell ref="I262:I266"/>
    <mergeCell ref="J262:J266"/>
    <mergeCell ref="G267:G271"/>
    <mergeCell ref="A122:A126"/>
    <mergeCell ref="B122:B126"/>
    <mergeCell ref="G122:G126"/>
    <mergeCell ref="J122:J126"/>
    <mergeCell ref="G152:G156"/>
    <mergeCell ref="J152:J156"/>
    <mergeCell ref="B167:B171"/>
    <mergeCell ref="G167:G171"/>
    <mergeCell ref="H167:H171"/>
    <mergeCell ref="I167:I171"/>
    <mergeCell ref="G202:G206"/>
    <mergeCell ref="H202:H206"/>
    <mergeCell ref="I202:I206"/>
    <mergeCell ref="J202:J206"/>
    <mergeCell ref="G237:G241"/>
    <mergeCell ref="A227:A231"/>
    <mergeCell ref="B227:B231"/>
    <mergeCell ref="G227:G231"/>
    <mergeCell ref="H262:H266"/>
    <mergeCell ref="J247:J251"/>
    <mergeCell ref="K122:K126"/>
    <mergeCell ref="J252:J256"/>
    <mergeCell ref="K252:K256"/>
    <mergeCell ref="H257:H261"/>
    <mergeCell ref="I257:I261"/>
    <mergeCell ref="K262:K266"/>
    <mergeCell ref="B257:B261"/>
    <mergeCell ref="A257:A261"/>
    <mergeCell ref="G257:G261"/>
    <mergeCell ref="J257:J261"/>
    <mergeCell ref="H137:H141"/>
    <mergeCell ref="I137:I141"/>
    <mergeCell ref="J137:J141"/>
    <mergeCell ref="K137:K141"/>
    <mergeCell ref="K162:K166"/>
    <mergeCell ref="A147:A151"/>
    <mergeCell ref="B147:B151"/>
    <mergeCell ref="G147:G151"/>
    <mergeCell ref="J147:J151"/>
    <mergeCell ref="K147:K151"/>
    <mergeCell ref="H147:H151"/>
    <mergeCell ref="I147:I151"/>
    <mergeCell ref="A152:A156"/>
    <mergeCell ref="B152:B156"/>
    <mergeCell ref="A1:K1"/>
    <mergeCell ref="A2:K2"/>
    <mergeCell ref="A3:K3"/>
    <mergeCell ref="A82:A86"/>
    <mergeCell ref="B82:B86"/>
    <mergeCell ref="J292:J296"/>
    <mergeCell ref="K292:K296"/>
    <mergeCell ref="K307:K311"/>
    <mergeCell ref="A292:A296"/>
    <mergeCell ref="B292:B296"/>
    <mergeCell ref="G292:G296"/>
    <mergeCell ref="B302:B306"/>
    <mergeCell ref="A302:A306"/>
    <mergeCell ref="G302:G306"/>
    <mergeCell ref="J302:J306"/>
    <mergeCell ref="K302:K306"/>
    <mergeCell ref="A307:A311"/>
    <mergeCell ref="B307:B311"/>
    <mergeCell ref="G307:G311"/>
    <mergeCell ref="H307:H311"/>
    <mergeCell ref="I307:I311"/>
    <mergeCell ref="J307:J311"/>
    <mergeCell ref="A287:A291"/>
    <mergeCell ref="I297:I301"/>
    <mergeCell ref="K102:K106"/>
    <mergeCell ref="K92:K96"/>
    <mergeCell ref="A97:A101"/>
    <mergeCell ref="B97:B101"/>
    <mergeCell ref="G97:G101"/>
    <mergeCell ref="H97:H101"/>
    <mergeCell ref="I97:I101"/>
    <mergeCell ref="J97:J101"/>
    <mergeCell ref="K97:K101"/>
    <mergeCell ref="B102:B106"/>
    <mergeCell ref="A77:A81"/>
    <mergeCell ref="B77:B81"/>
    <mergeCell ref="J77:J81"/>
    <mergeCell ref="G62:G66"/>
    <mergeCell ref="A72:A76"/>
    <mergeCell ref="B72:B76"/>
    <mergeCell ref="A112:A116"/>
    <mergeCell ref="B112:B116"/>
    <mergeCell ref="I112:I116"/>
    <mergeCell ref="J112:J116"/>
    <mergeCell ref="H102:H106"/>
    <mergeCell ref="I102:I106"/>
    <mergeCell ref="J102:J106"/>
    <mergeCell ref="I77:I81"/>
    <mergeCell ref="J82:J86"/>
    <mergeCell ref="I82:I86"/>
    <mergeCell ref="A87:A91"/>
    <mergeCell ref="B87:B91"/>
    <mergeCell ref="G87:G91"/>
    <mergeCell ref="J87:J91"/>
    <mergeCell ref="K112:K116"/>
    <mergeCell ref="A107:A111"/>
    <mergeCell ref="B107:B111"/>
    <mergeCell ref="I107:I111"/>
    <mergeCell ref="J107:J111"/>
    <mergeCell ref="K107:K111"/>
    <mergeCell ref="K127:K131"/>
    <mergeCell ref="A142:A146"/>
    <mergeCell ref="B142:B146"/>
    <mergeCell ref="G142:G146"/>
    <mergeCell ref="J142:J146"/>
    <mergeCell ref="K142:K146"/>
    <mergeCell ref="H142:H146"/>
    <mergeCell ref="I142:I146"/>
    <mergeCell ref="A132:A136"/>
    <mergeCell ref="B132:B136"/>
    <mergeCell ref="G132:G136"/>
    <mergeCell ref="H132:H136"/>
    <mergeCell ref="I132:I136"/>
    <mergeCell ref="J132:J136"/>
    <mergeCell ref="K132:K136"/>
    <mergeCell ref="A137:A141"/>
    <mergeCell ref="B137:B141"/>
    <mergeCell ref="G137:G141"/>
    <mergeCell ref="K152:K156"/>
    <mergeCell ref="A157:A161"/>
    <mergeCell ref="B157:B161"/>
    <mergeCell ref="G157:G161"/>
    <mergeCell ref="H157:H161"/>
    <mergeCell ref="I157:I161"/>
    <mergeCell ref="J157:J161"/>
    <mergeCell ref="K157:K161"/>
    <mergeCell ref="A202:A206"/>
    <mergeCell ref="B202:B206"/>
    <mergeCell ref="K167:K171"/>
    <mergeCell ref="A172:A176"/>
    <mergeCell ref="B172:B176"/>
    <mergeCell ref="G172:G176"/>
    <mergeCell ref="J172:J176"/>
    <mergeCell ref="K172:K176"/>
    <mergeCell ref="A177:A181"/>
    <mergeCell ref="B177:B181"/>
    <mergeCell ref="G177:G181"/>
    <mergeCell ref="H177:H181"/>
    <mergeCell ref="I177:I181"/>
    <mergeCell ref="J177:J181"/>
    <mergeCell ref="K177:K181"/>
    <mergeCell ref="A167:A171"/>
    <mergeCell ref="K182:K186"/>
    <mergeCell ref="A197:A201"/>
    <mergeCell ref="B197:B201"/>
    <mergeCell ref="G197:G201"/>
    <mergeCell ref="J197:J201"/>
    <mergeCell ref="K197:K201"/>
    <mergeCell ref="A187:A191"/>
    <mergeCell ref="B187:B191"/>
    <mergeCell ref="G187:G191"/>
    <mergeCell ref="H187:H191"/>
    <mergeCell ref="I187:I191"/>
    <mergeCell ref="J187:J191"/>
    <mergeCell ref="K187:K191"/>
    <mergeCell ref="A192:A196"/>
    <mergeCell ref="B192:B196"/>
    <mergeCell ref="G192:G196"/>
    <mergeCell ref="H192:H196"/>
    <mergeCell ref="I192:I196"/>
    <mergeCell ref="J192:J196"/>
    <mergeCell ref="K192:K196"/>
    <mergeCell ref="K202:K206"/>
    <mergeCell ref="J207:J211"/>
    <mergeCell ref="K207:K211"/>
    <mergeCell ref="J242:J246"/>
    <mergeCell ref="J227:J231"/>
    <mergeCell ref="K227:K231"/>
    <mergeCell ref="K222:K226"/>
    <mergeCell ref="J222:J226"/>
    <mergeCell ref="I212:I216"/>
    <mergeCell ref="J212:J216"/>
    <mergeCell ref="K212:K216"/>
    <mergeCell ref="K242:K246"/>
    <mergeCell ref="J237:J241"/>
    <mergeCell ref="K237:K241"/>
    <mergeCell ref="J217:J221"/>
    <mergeCell ref="I222:I226"/>
    <mergeCell ref="K217:K221"/>
    <mergeCell ref="J232:J236"/>
    <mergeCell ref="K232:K236"/>
    <mergeCell ref="H302:H306"/>
    <mergeCell ref="I302:I306"/>
    <mergeCell ref="A232:A236"/>
    <mergeCell ref="B232:B236"/>
    <mergeCell ref="G232:G236"/>
    <mergeCell ref="H232:H236"/>
    <mergeCell ref="I232:I236"/>
    <mergeCell ref="A247:A251"/>
    <mergeCell ref="B247:B251"/>
    <mergeCell ref="G247:G251"/>
    <mergeCell ref="H247:H251"/>
    <mergeCell ref="I247:I251"/>
    <mergeCell ref="B277:B281"/>
    <mergeCell ref="G277:G281"/>
    <mergeCell ref="B287:B291"/>
    <mergeCell ref="G287:G291"/>
    <mergeCell ref="I267:I271"/>
    <mergeCell ref="A252:A256"/>
    <mergeCell ref="B252:B256"/>
    <mergeCell ref="G252:G256"/>
    <mergeCell ref="H252:H256"/>
    <mergeCell ref="I252:I256"/>
    <mergeCell ref="I272:I276"/>
    <mergeCell ref="B267:B271"/>
    <mergeCell ref="J287:J291"/>
    <mergeCell ref="J267:J271"/>
    <mergeCell ref="K267:K276"/>
    <mergeCell ref="J272:J276"/>
    <mergeCell ref="K287:K291"/>
    <mergeCell ref="B297:B301"/>
    <mergeCell ref="G282:G286"/>
    <mergeCell ref="J282:J286"/>
    <mergeCell ref="K282:K286"/>
    <mergeCell ref="K247:K251"/>
    <mergeCell ref="J297:J301"/>
    <mergeCell ref="K297:K301"/>
    <mergeCell ref="H287:H291"/>
    <mergeCell ref="A282:A286"/>
    <mergeCell ref="A277:A281"/>
    <mergeCell ref="K257:K261"/>
    <mergeCell ref="A262:A266"/>
    <mergeCell ref="B262:B266"/>
    <mergeCell ref="G262:G266"/>
    <mergeCell ref="B272:B276"/>
    <mergeCell ref="A272:A276"/>
    <mergeCell ref="A297:A301"/>
    <mergeCell ref="G297:G301"/>
    <mergeCell ref="H297:H301"/>
    <mergeCell ref="G272:G276"/>
    <mergeCell ref="H267:H271"/>
    <mergeCell ref="H272:H276"/>
    <mergeCell ref="I287:I291"/>
    <mergeCell ref="H292:H296"/>
    <mergeCell ref="I292:I296"/>
    <mergeCell ref="K277:K281"/>
    <mergeCell ref="B282:B286"/>
    <mergeCell ref="J277:J281"/>
    <mergeCell ref="A207:A211"/>
    <mergeCell ref="B207:B211"/>
    <mergeCell ref="G207:G211"/>
    <mergeCell ref="A242:A246"/>
    <mergeCell ref="B242:B246"/>
    <mergeCell ref="G242:G246"/>
    <mergeCell ref="G222:G226"/>
    <mergeCell ref="H222:H226"/>
    <mergeCell ref="A212:A216"/>
    <mergeCell ref="B212:B216"/>
    <mergeCell ref="G212:G216"/>
    <mergeCell ref="H212:H216"/>
    <mergeCell ref="A237:A241"/>
    <mergeCell ref="B237:B241"/>
    <mergeCell ref="A217:A221"/>
    <mergeCell ref="B217:B221"/>
    <mergeCell ref="G217:G221"/>
    <mergeCell ref="A222:A226"/>
    <mergeCell ref="B222:B226"/>
    <mergeCell ref="A117:A121"/>
    <mergeCell ref="B117:B121"/>
    <mergeCell ref="I117:I121"/>
    <mergeCell ref="J117:J121"/>
    <mergeCell ref="G77:G86"/>
    <mergeCell ref="H77:H86"/>
    <mergeCell ref="A182:A186"/>
    <mergeCell ref="B182:B186"/>
    <mergeCell ref="G182:G186"/>
    <mergeCell ref="H182:H186"/>
    <mergeCell ref="A127:A131"/>
    <mergeCell ref="B127:B131"/>
    <mergeCell ref="A162:A166"/>
    <mergeCell ref="B162:B166"/>
    <mergeCell ref="I182:I186"/>
    <mergeCell ref="J182:J186"/>
    <mergeCell ref="J167:J171"/>
    <mergeCell ref="G162:G166"/>
    <mergeCell ref="H162:H166"/>
    <mergeCell ref="I162:I166"/>
    <mergeCell ref="J162:J166"/>
    <mergeCell ref="G127:G131"/>
    <mergeCell ref="J127:J131"/>
    <mergeCell ref="G102:G106"/>
  </mergeCells>
  <pageMargins left="0.25" right="0.25" top="0.75" bottom="0.75" header="0.3" footer="0.3"/>
  <pageSetup paperSize="9" scale="4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O37"/>
  <sheetViews>
    <sheetView zoomScale="90" zoomScaleNormal="90" workbookViewId="0">
      <pane ySplit="6" topLeftCell="A7" activePane="bottomLeft" state="frozen"/>
      <selection pane="bottomLeft" activeCell="G26" sqref="G26"/>
    </sheetView>
  </sheetViews>
  <sheetFormatPr defaultColWidth="8.88671875" defaultRowHeight="13.8" x14ac:dyDescent="0.25"/>
  <cols>
    <col min="1" max="1" width="4.6640625" style="17" customWidth="1"/>
    <col min="2" max="2" width="40.44140625" style="17" customWidth="1"/>
    <col min="3" max="3" width="6.109375" style="17" customWidth="1"/>
    <col min="4" max="5" width="9" style="17" bestFit="1" customWidth="1"/>
    <col min="6" max="6" width="9.33203125" style="17" bestFit="1" customWidth="1"/>
    <col min="7" max="7" width="8.88671875" style="17"/>
    <col min="8" max="8" width="13.88671875" style="40" customWidth="1"/>
    <col min="9" max="9" width="12.88671875" style="17" customWidth="1"/>
    <col min="10" max="10" width="36.5546875" style="17" hidden="1" customWidth="1"/>
    <col min="11" max="11" width="58.88671875" style="17" hidden="1" customWidth="1"/>
    <col min="12" max="12" width="14.109375" style="17" customWidth="1"/>
    <col min="13" max="13" width="12.88671875" style="17" customWidth="1"/>
    <col min="14" max="14" width="17.109375" style="17" customWidth="1"/>
    <col min="15" max="15" width="45.88671875" style="17" customWidth="1"/>
    <col min="16" max="16384" width="8.88671875" style="17"/>
  </cols>
  <sheetData>
    <row r="1" spans="1:15" ht="14.4" customHeight="1" x14ac:dyDescent="0.25">
      <c r="A1" s="127" t="s">
        <v>57</v>
      </c>
      <c r="B1" s="127"/>
      <c r="C1" s="127"/>
      <c r="D1" s="127"/>
      <c r="E1" s="127"/>
      <c r="F1" s="127"/>
      <c r="G1" s="127"/>
      <c r="H1" s="127"/>
      <c r="I1" s="127"/>
      <c r="J1" s="127"/>
      <c r="K1" s="127"/>
      <c r="L1" s="127"/>
      <c r="M1" s="127"/>
      <c r="N1" s="127"/>
    </row>
    <row r="2" spans="1:15" x14ac:dyDescent="0.25">
      <c r="A2" s="127" t="s">
        <v>246</v>
      </c>
      <c r="B2" s="127"/>
      <c r="C2" s="127"/>
      <c r="D2" s="127"/>
      <c r="E2" s="127"/>
      <c r="F2" s="127"/>
      <c r="G2" s="127"/>
      <c r="H2" s="127"/>
      <c r="I2" s="127"/>
      <c r="J2" s="127"/>
      <c r="K2" s="127"/>
      <c r="L2" s="127"/>
      <c r="M2" s="127"/>
      <c r="N2" s="127"/>
    </row>
    <row r="4" spans="1:15" ht="28.95" customHeight="1" x14ac:dyDescent="0.25">
      <c r="A4" s="104" t="s">
        <v>0</v>
      </c>
      <c r="B4" s="104" t="s">
        <v>35</v>
      </c>
      <c r="C4" s="104" t="s">
        <v>36</v>
      </c>
      <c r="D4" s="104" t="s">
        <v>37</v>
      </c>
      <c r="E4" s="104" t="s">
        <v>38</v>
      </c>
      <c r="F4" s="104"/>
      <c r="G4" s="104"/>
      <c r="H4" s="150" t="s">
        <v>41</v>
      </c>
      <c r="I4" s="104" t="s">
        <v>55</v>
      </c>
      <c r="J4" s="104" t="s">
        <v>42</v>
      </c>
      <c r="K4" s="104" t="s">
        <v>43</v>
      </c>
      <c r="L4" s="104" t="s">
        <v>56</v>
      </c>
      <c r="M4" s="104" t="s">
        <v>44</v>
      </c>
      <c r="N4" s="104" t="s">
        <v>45</v>
      </c>
    </row>
    <row r="5" spans="1:15" x14ac:dyDescent="0.25">
      <c r="A5" s="104"/>
      <c r="B5" s="104"/>
      <c r="C5" s="104"/>
      <c r="D5" s="104"/>
      <c r="E5" s="35">
        <v>2024</v>
      </c>
      <c r="F5" s="104">
        <v>2025</v>
      </c>
      <c r="G5" s="104"/>
      <c r="H5" s="150"/>
      <c r="I5" s="104"/>
      <c r="J5" s="104"/>
      <c r="K5" s="104"/>
      <c r="L5" s="104"/>
      <c r="M5" s="104"/>
      <c r="N5" s="104"/>
    </row>
    <row r="6" spans="1:15" ht="62.25" customHeight="1" x14ac:dyDescent="0.25">
      <c r="A6" s="104"/>
      <c r="B6" s="104"/>
      <c r="C6" s="104"/>
      <c r="D6" s="104"/>
      <c r="E6" s="20" t="s">
        <v>39</v>
      </c>
      <c r="F6" s="20" t="s">
        <v>40</v>
      </c>
      <c r="G6" s="20" t="s">
        <v>39</v>
      </c>
      <c r="H6" s="150"/>
      <c r="I6" s="104"/>
      <c r="J6" s="104"/>
      <c r="K6" s="104"/>
      <c r="L6" s="104"/>
      <c r="M6" s="104"/>
      <c r="N6" s="104"/>
    </row>
    <row r="7" spans="1:15" s="37" customFormat="1" ht="55.95" customHeight="1" x14ac:dyDescent="0.25">
      <c r="A7" s="19"/>
      <c r="B7" s="19" t="s">
        <v>161</v>
      </c>
      <c r="C7" s="19"/>
      <c r="D7" s="19"/>
      <c r="E7" s="19"/>
      <c r="F7" s="19"/>
      <c r="G7" s="19"/>
      <c r="H7" s="36"/>
      <c r="I7" s="19"/>
      <c r="J7" s="18"/>
      <c r="K7" s="18"/>
      <c r="L7" s="18"/>
      <c r="M7" s="30">
        <f>AVERAGE(M8:M13)</f>
        <v>100</v>
      </c>
      <c r="N7" s="30">
        <f>AVERAGE(N10,N12,N33:N34,N36)</f>
        <v>100</v>
      </c>
    </row>
    <row r="8" spans="1:15" ht="69" x14ac:dyDescent="0.25">
      <c r="A8" s="14" t="s">
        <v>46</v>
      </c>
      <c r="B8" s="14" t="s">
        <v>163</v>
      </c>
      <c r="C8" s="14" t="s">
        <v>82</v>
      </c>
      <c r="D8" s="14">
        <v>0</v>
      </c>
      <c r="E8" s="14">
        <v>94</v>
      </c>
      <c r="F8" s="14">
        <v>94</v>
      </c>
      <c r="G8" s="14">
        <v>94</v>
      </c>
      <c r="H8" s="38">
        <f t="shared" ref="H8:H13" si="0">G8/F8*100</f>
        <v>100</v>
      </c>
      <c r="I8" s="38">
        <f t="shared" ref="I8:I13" si="1">G8/E8*100</f>
        <v>100</v>
      </c>
      <c r="J8" s="25"/>
      <c r="K8" s="25"/>
      <c r="L8" s="20" t="s">
        <v>87</v>
      </c>
      <c r="M8" s="31">
        <f t="shared" ref="M8:M13" si="2">MIN(G8/F8*100, 100)</f>
        <v>100</v>
      </c>
      <c r="N8" s="31" t="str">
        <f>IF(D8&lt;&gt;0,MIN(I8,100),"-")</f>
        <v>-</v>
      </c>
    </row>
    <row r="9" spans="1:15" ht="133.5" customHeight="1" x14ac:dyDescent="0.25">
      <c r="A9" s="14" t="s">
        <v>47</v>
      </c>
      <c r="B9" s="14" t="s">
        <v>164</v>
      </c>
      <c r="C9" s="14" t="s">
        <v>82</v>
      </c>
      <c r="D9" s="14">
        <v>0</v>
      </c>
      <c r="E9" s="14">
        <v>100</v>
      </c>
      <c r="F9" s="14">
        <v>100</v>
      </c>
      <c r="G9" s="39">
        <v>100</v>
      </c>
      <c r="H9" s="38">
        <f t="shared" si="0"/>
        <v>100</v>
      </c>
      <c r="I9" s="38">
        <f t="shared" si="1"/>
        <v>100</v>
      </c>
      <c r="J9" s="25"/>
      <c r="K9" s="25"/>
      <c r="L9" s="20" t="s">
        <v>87</v>
      </c>
      <c r="M9" s="31">
        <f t="shared" si="2"/>
        <v>100</v>
      </c>
      <c r="N9" s="31" t="str">
        <f t="shared" ref="N9:N37" si="3">IF(D9&lt;&gt;0,MIN(I9,100),"-")</f>
        <v>-</v>
      </c>
    </row>
    <row r="10" spans="1:15" ht="49.5" customHeight="1" x14ac:dyDescent="0.25">
      <c r="A10" s="14" t="s">
        <v>48</v>
      </c>
      <c r="B10" s="14" t="s">
        <v>165</v>
      </c>
      <c r="C10" s="14" t="s">
        <v>166</v>
      </c>
      <c r="D10" s="14">
        <v>1</v>
      </c>
      <c r="E10" s="14">
        <v>3537</v>
      </c>
      <c r="F10" s="14">
        <v>3537</v>
      </c>
      <c r="G10" s="14">
        <v>3537</v>
      </c>
      <c r="H10" s="38">
        <f t="shared" si="0"/>
        <v>100</v>
      </c>
      <c r="I10" s="38">
        <f t="shared" si="1"/>
        <v>100</v>
      </c>
      <c r="J10" s="25"/>
      <c r="K10" s="25"/>
      <c r="L10" s="20" t="s">
        <v>256</v>
      </c>
      <c r="M10" s="31">
        <f t="shared" si="2"/>
        <v>100</v>
      </c>
      <c r="N10" s="31">
        <f t="shared" si="3"/>
        <v>100</v>
      </c>
      <c r="O10" s="33"/>
    </row>
    <row r="11" spans="1:15" ht="110.25" customHeight="1" x14ac:dyDescent="0.25">
      <c r="A11" s="14" t="s">
        <v>49</v>
      </c>
      <c r="B11" s="14" t="s">
        <v>167</v>
      </c>
      <c r="C11" s="14" t="s">
        <v>82</v>
      </c>
      <c r="D11" s="14">
        <v>0</v>
      </c>
      <c r="E11" s="14">
        <v>100</v>
      </c>
      <c r="F11" s="14">
        <v>100</v>
      </c>
      <c r="G11" s="14">
        <v>100</v>
      </c>
      <c r="H11" s="38">
        <f t="shared" si="0"/>
        <v>100</v>
      </c>
      <c r="I11" s="38">
        <f t="shared" si="1"/>
        <v>100</v>
      </c>
      <c r="J11" s="25"/>
      <c r="K11" s="25"/>
      <c r="L11" s="20" t="s">
        <v>91</v>
      </c>
      <c r="M11" s="31">
        <f t="shared" si="2"/>
        <v>100</v>
      </c>
      <c r="N11" s="31" t="str">
        <f t="shared" si="3"/>
        <v>-</v>
      </c>
      <c r="O11" s="33"/>
    </row>
    <row r="12" spans="1:15" ht="82.8" x14ac:dyDescent="0.25">
      <c r="A12" s="14" t="s">
        <v>50</v>
      </c>
      <c r="B12" s="14" t="s">
        <v>168</v>
      </c>
      <c r="C12" s="14" t="s">
        <v>173</v>
      </c>
      <c r="D12" s="14">
        <v>1</v>
      </c>
      <c r="E12" s="14">
        <v>62</v>
      </c>
      <c r="F12" s="14">
        <v>62</v>
      </c>
      <c r="G12" s="14">
        <v>62</v>
      </c>
      <c r="H12" s="38">
        <f t="shared" si="0"/>
        <v>100</v>
      </c>
      <c r="I12" s="38">
        <f t="shared" si="1"/>
        <v>100</v>
      </c>
      <c r="J12" s="25"/>
      <c r="K12" s="25"/>
      <c r="L12" s="20" t="s">
        <v>255</v>
      </c>
      <c r="M12" s="31">
        <f t="shared" si="2"/>
        <v>100</v>
      </c>
      <c r="N12" s="31">
        <f t="shared" si="3"/>
        <v>100</v>
      </c>
      <c r="O12" s="33"/>
    </row>
    <row r="13" spans="1:15" ht="94.5" customHeight="1" x14ac:dyDescent="0.25">
      <c r="A13" s="14" t="s">
        <v>162</v>
      </c>
      <c r="B13" s="14" t="s">
        <v>169</v>
      </c>
      <c r="C13" s="14" t="s">
        <v>82</v>
      </c>
      <c r="D13" s="14">
        <v>0</v>
      </c>
      <c r="E13" s="14">
        <v>100</v>
      </c>
      <c r="F13" s="14">
        <v>100</v>
      </c>
      <c r="G13" s="14">
        <v>100</v>
      </c>
      <c r="H13" s="38">
        <f t="shared" si="0"/>
        <v>100</v>
      </c>
      <c r="I13" s="38">
        <f t="shared" si="1"/>
        <v>100</v>
      </c>
      <c r="J13" s="25"/>
      <c r="K13" s="25"/>
      <c r="L13" s="20" t="s">
        <v>89</v>
      </c>
      <c r="M13" s="31">
        <f t="shared" si="2"/>
        <v>100</v>
      </c>
      <c r="N13" s="31" t="str">
        <f t="shared" si="3"/>
        <v>-</v>
      </c>
      <c r="O13" s="33"/>
    </row>
    <row r="14" spans="1:15" s="37" customFormat="1" ht="63.75" customHeight="1" x14ac:dyDescent="0.25">
      <c r="A14" s="19" t="s">
        <v>24</v>
      </c>
      <c r="B14" s="19" t="s">
        <v>170</v>
      </c>
      <c r="C14" s="19"/>
      <c r="D14" s="19"/>
      <c r="E14" s="19"/>
      <c r="F14" s="19"/>
      <c r="G14" s="19"/>
      <c r="H14" s="38"/>
      <c r="I14" s="38"/>
      <c r="J14" s="29"/>
      <c r="K14" s="29"/>
      <c r="L14" s="21"/>
      <c r="M14" s="30">
        <f>AVERAGE(M15:M20)</f>
        <v>93.875922924636072</v>
      </c>
      <c r="N14" s="30" t="s">
        <v>23</v>
      </c>
      <c r="O14" s="41"/>
    </row>
    <row r="15" spans="1:15" s="37" customFormat="1" ht="71.400000000000006" customHeight="1" x14ac:dyDescent="0.25">
      <c r="A15" s="14" t="s">
        <v>25</v>
      </c>
      <c r="B15" s="14" t="s">
        <v>172</v>
      </c>
      <c r="C15" s="14" t="s">
        <v>166</v>
      </c>
      <c r="D15" s="14">
        <v>0</v>
      </c>
      <c r="E15" s="14">
        <v>358</v>
      </c>
      <c r="F15" s="14">
        <v>358</v>
      </c>
      <c r="G15" s="14">
        <v>336</v>
      </c>
      <c r="H15" s="38">
        <f t="shared" ref="H15:H20" si="4">G15/F15*100</f>
        <v>93.85474860335195</v>
      </c>
      <c r="I15" s="38">
        <f t="shared" ref="I15:I20" si="5">G15/E15*100</f>
        <v>93.85474860335195</v>
      </c>
      <c r="J15" s="25" t="s">
        <v>222</v>
      </c>
      <c r="K15" s="25"/>
      <c r="L15" s="20" t="s">
        <v>87</v>
      </c>
      <c r="M15" s="31">
        <f t="shared" ref="M15:M20" si="6">MIN(G15/F15*100, 100)</f>
        <v>93.85474860335195</v>
      </c>
      <c r="N15" s="31" t="str">
        <f t="shared" si="3"/>
        <v>-</v>
      </c>
      <c r="O15" s="41"/>
    </row>
    <row r="16" spans="1:15" s="37" customFormat="1" ht="62.4" customHeight="1" x14ac:dyDescent="0.25">
      <c r="A16" s="14" t="s">
        <v>51</v>
      </c>
      <c r="B16" s="14" t="s">
        <v>174</v>
      </c>
      <c r="C16" s="14" t="s">
        <v>166</v>
      </c>
      <c r="D16" s="14">
        <v>0</v>
      </c>
      <c r="E16" s="14">
        <v>264</v>
      </c>
      <c r="F16" s="14">
        <v>264</v>
      </c>
      <c r="G16" s="14">
        <v>261</v>
      </c>
      <c r="H16" s="38">
        <f t="shared" si="4"/>
        <v>98.86363636363636</v>
      </c>
      <c r="I16" s="38">
        <f t="shared" si="5"/>
        <v>98.86363636363636</v>
      </c>
      <c r="J16" s="25" t="s">
        <v>222</v>
      </c>
      <c r="K16" s="25"/>
      <c r="L16" s="20" t="s">
        <v>87</v>
      </c>
      <c r="M16" s="31">
        <f t="shared" si="6"/>
        <v>98.86363636363636</v>
      </c>
      <c r="N16" s="31" t="str">
        <f t="shared" si="3"/>
        <v>-</v>
      </c>
      <c r="O16" s="41"/>
    </row>
    <row r="17" spans="1:15" s="37" customFormat="1" ht="36" customHeight="1" x14ac:dyDescent="0.25">
      <c r="A17" s="14" t="s">
        <v>52</v>
      </c>
      <c r="B17" s="14" t="s">
        <v>175</v>
      </c>
      <c r="C17" s="14" t="s">
        <v>166</v>
      </c>
      <c r="D17" s="14">
        <v>0</v>
      </c>
      <c r="E17" s="14">
        <v>100</v>
      </c>
      <c r="F17" s="14">
        <v>100</v>
      </c>
      <c r="G17" s="14">
        <v>99</v>
      </c>
      <c r="H17" s="38">
        <f t="shared" si="4"/>
        <v>99</v>
      </c>
      <c r="I17" s="38">
        <f t="shared" si="5"/>
        <v>99</v>
      </c>
      <c r="J17" s="25"/>
      <c r="K17" s="25"/>
      <c r="L17" s="20" t="s">
        <v>87</v>
      </c>
      <c r="M17" s="31">
        <f t="shared" si="6"/>
        <v>99</v>
      </c>
      <c r="N17" s="31" t="str">
        <f t="shared" si="3"/>
        <v>-</v>
      </c>
      <c r="O17" s="41"/>
    </row>
    <row r="18" spans="1:15" s="37" customFormat="1" ht="72.75" customHeight="1" x14ac:dyDescent="0.25">
      <c r="A18" s="14" t="s">
        <v>53</v>
      </c>
      <c r="B18" s="14" t="s">
        <v>176</v>
      </c>
      <c r="C18" s="14" t="s">
        <v>166</v>
      </c>
      <c r="D18" s="14">
        <v>0</v>
      </c>
      <c r="E18" s="14">
        <v>430</v>
      </c>
      <c r="F18" s="14">
        <v>430</v>
      </c>
      <c r="G18" s="14">
        <v>402</v>
      </c>
      <c r="H18" s="38">
        <f t="shared" si="4"/>
        <v>93.488372093023258</v>
      </c>
      <c r="I18" s="38">
        <f t="shared" si="5"/>
        <v>93.488372093023258</v>
      </c>
      <c r="J18" s="25" t="s">
        <v>221</v>
      </c>
      <c r="K18" s="25"/>
      <c r="L18" s="20" t="s">
        <v>87</v>
      </c>
      <c r="M18" s="31">
        <f t="shared" si="6"/>
        <v>93.488372093023258</v>
      </c>
      <c r="N18" s="31" t="str">
        <f t="shared" si="3"/>
        <v>-</v>
      </c>
      <c r="O18" s="41"/>
    </row>
    <row r="19" spans="1:15" s="37" customFormat="1" ht="114" customHeight="1" x14ac:dyDescent="0.25">
      <c r="A19" s="14" t="s">
        <v>84</v>
      </c>
      <c r="B19" s="14" t="s">
        <v>177</v>
      </c>
      <c r="C19" s="14" t="s">
        <v>166</v>
      </c>
      <c r="D19" s="14">
        <v>0</v>
      </c>
      <c r="E19" s="14">
        <v>164</v>
      </c>
      <c r="F19" s="14">
        <v>164</v>
      </c>
      <c r="G19" s="14">
        <v>128</v>
      </c>
      <c r="H19" s="38">
        <f t="shared" si="4"/>
        <v>78.048780487804876</v>
      </c>
      <c r="I19" s="38">
        <f t="shared" si="5"/>
        <v>78.048780487804876</v>
      </c>
      <c r="J19" s="25" t="s">
        <v>219</v>
      </c>
      <c r="K19" s="25" t="s">
        <v>227</v>
      </c>
      <c r="L19" s="20" t="s">
        <v>88</v>
      </c>
      <c r="M19" s="31">
        <f t="shared" si="6"/>
        <v>78.048780487804876</v>
      </c>
      <c r="N19" s="31" t="str">
        <f t="shared" si="3"/>
        <v>-</v>
      </c>
      <c r="O19" s="41"/>
    </row>
    <row r="20" spans="1:15" ht="104.25" customHeight="1" x14ac:dyDescent="0.25">
      <c r="A20" s="14" t="s">
        <v>171</v>
      </c>
      <c r="B20" s="14" t="s">
        <v>178</v>
      </c>
      <c r="C20" s="14" t="s">
        <v>166</v>
      </c>
      <c r="D20" s="14">
        <v>0</v>
      </c>
      <c r="E20" s="14">
        <v>20</v>
      </c>
      <c r="F20" s="14">
        <v>20</v>
      </c>
      <c r="G20" s="14">
        <v>20</v>
      </c>
      <c r="H20" s="38">
        <f t="shared" si="4"/>
        <v>100</v>
      </c>
      <c r="I20" s="38">
        <f t="shared" si="5"/>
        <v>100</v>
      </c>
      <c r="J20" s="25"/>
      <c r="K20" s="25"/>
      <c r="L20" s="20" t="s">
        <v>193</v>
      </c>
      <c r="M20" s="31">
        <f t="shared" si="6"/>
        <v>100</v>
      </c>
      <c r="N20" s="31" t="str">
        <f t="shared" si="3"/>
        <v>-</v>
      </c>
      <c r="O20" s="33"/>
    </row>
    <row r="21" spans="1:15" s="37" customFormat="1" ht="64.2" customHeight="1" x14ac:dyDescent="0.25">
      <c r="A21" s="19" t="s">
        <v>54</v>
      </c>
      <c r="B21" s="19" t="s">
        <v>179</v>
      </c>
      <c r="C21" s="19"/>
      <c r="D21" s="19"/>
      <c r="E21" s="19"/>
      <c r="F21" s="19"/>
      <c r="G21" s="19"/>
      <c r="H21" s="38"/>
      <c r="I21" s="38"/>
      <c r="J21" s="29"/>
      <c r="K21" s="29"/>
      <c r="L21" s="21"/>
      <c r="M21" s="30">
        <f>AVERAGE(M22:M31)</f>
        <v>37.015384615384619</v>
      </c>
      <c r="N21" s="30" t="s">
        <v>23</v>
      </c>
      <c r="O21" s="41"/>
    </row>
    <row r="22" spans="1:15" s="37" customFormat="1" ht="33" customHeight="1" x14ac:dyDescent="0.25">
      <c r="A22" s="14" t="s">
        <v>30</v>
      </c>
      <c r="B22" s="14" t="s">
        <v>183</v>
      </c>
      <c r="C22" s="14" t="s">
        <v>166</v>
      </c>
      <c r="D22" s="14">
        <v>0</v>
      </c>
      <c r="E22" s="14">
        <v>50</v>
      </c>
      <c r="F22" s="14">
        <v>50</v>
      </c>
      <c r="G22" s="14">
        <v>22</v>
      </c>
      <c r="H22" s="38">
        <f t="shared" ref="H22:H31" si="7">G22/F22*100</f>
        <v>44</v>
      </c>
      <c r="I22" s="38">
        <f t="shared" ref="I22:I31" si="8">G22/E22*100</f>
        <v>44</v>
      </c>
      <c r="J22" s="25"/>
      <c r="K22" s="25"/>
      <c r="L22" s="20" t="s">
        <v>254</v>
      </c>
      <c r="M22" s="31">
        <f t="shared" ref="M22:M31" si="9">MIN(G22/F22*100, 100)</f>
        <v>44</v>
      </c>
      <c r="N22" s="31" t="str">
        <f t="shared" si="3"/>
        <v>-</v>
      </c>
      <c r="O22" s="41"/>
    </row>
    <row r="23" spans="1:15" s="37" customFormat="1" ht="50.25" customHeight="1" x14ac:dyDescent="0.25">
      <c r="A23" s="14" t="s">
        <v>118</v>
      </c>
      <c r="B23" s="14" t="s">
        <v>184</v>
      </c>
      <c r="C23" s="14" t="s">
        <v>166</v>
      </c>
      <c r="D23" s="14">
        <v>0</v>
      </c>
      <c r="E23" s="14">
        <v>958</v>
      </c>
      <c r="F23" s="14">
        <v>958</v>
      </c>
      <c r="G23" s="14"/>
      <c r="H23" s="38">
        <f t="shared" si="7"/>
        <v>0</v>
      </c>
      <c r="I23" s="38">
        <f t="shared" si="8"/>
        <v>0</v>
      </c>
      <c r="J23" s="25"/>
      <c r="K23" s="25"/>
      <c r="L23" s="20" t="s">
        <v>250</v>
      </c>
      <c r="M23" s="31">
        <f t="shared" si="9"/>
        <v>0</v>
      </c>
      <c r="N23" s="31" t="str">
        <f t="shared" si="3"/>
        <v>-</v>
      </c>
      <c r="O23" s="41"/>
    </row>
    <row r="24" spans="1:15" s="37" customFormat="1" ht="36.75" customHeight="1" x14ac:dyDescent="0.25">
      <c r="A24" s="14" t="s">
        <v>122</v>
      </c>
      <c r="B24" s="14" t="s">
        <v>185</v>
      </c>
      <c r="C24" s="14" t="s">
        <v>173</v>
      </c>
      <c r="D24" s="14">
        <v>0</v>
      </c>
      <c r="E24" s="14">
        <v>2</v>
      </c>
      <c r="F24" s="14">
        <v>3</v>
      </c>
      <c r="G24" s="14">
        <v>3</v>
      </c>
      <c r="H24" s="38">
        <f t="shared" si="7"/>
        <v>100</v>
      </c>
      <c r="I24" s="38">
        <f t="shared" si="8"/>
        <v>150</v>
      </c>
      <c r="J24" s="25"/>
      <c r="K24" s="25"/>
      <c r="L24" s="20" t="s">
        <v>89</v>
      </c>
      <c r="M24" s="31">
        <f t="shared" si="9"/>
        <v>100</v>
      </c>
      <c r="N24" s="31" t="str">
        <f t="shared" si="3"/>
        <v>-</v>
      </c>
      <c r="O24" s="41"/>
    </row>
    <row r="25" spans="1:15" s="37" customFormat="1" ht="55.5" customHeight="1" x14ac:dyDescent="0.25">
      <c r="A25" s="14" t="s">
        <v>132</v>
      </c>
      <c r="B25" s="14" t="s">
        <v>186</v>
      </c>
      <c r="C25" s="14" t="s">
        <v>173</v>
      </c>
      <c r="D25" s="14">
        <v>0</v>
      </c>
      <c r="E25" s="14">
        <v>130</v>
      </c>
      <c r="F25" s="14">
        <v>130</v>
      </c>
      <c r="G25" s="14">
        <v>34</v>
      </c>
      <c r="H25" s="38">
        <f t="shared" si="7"/>
        <v>26.153846153846157</v>
      </c>
      <c r="I25" s="38">
        <f t="shared" si="8"/>
        <v>26.153846153846157</v>
      </c>
      <c r="J25" s="25" t="s">
        <v>211</v>
      </c>
      <c r="K25" s="25"/>
      <c r="L25" s="20" t="s">
        <v>90</v>
      </c>
      <c r="M25" s="31">
        <f t="shared" si="9"/>
        <v>26.153846153846157</v>
      </c>
      <c r="N25" s="31" t="str">
        <f t="shared" si="3"/>
        <v>-</v>
      </c>
      <c r="O25" s="41"/>
    </row>
    <row r="26" spans="1:15" s="37" customFormat="1" ht="41.4" x14ac:dyDescent="0.25">
      <c r="A26" s="14" t="s">
        <v>136</v>
      </c>
      <c r="B26" s="14" t="s">
        <v>187</v>
      </c>
      <c r="C26" s="14" t="s">
        <v>166</v>
      </c>
      <c r="D26" s="14">
        <v>0</v>
      </c>
      <c r="E26" s="14">
        <v>56</v>
      </c>
      <c r="F26" s="14">
        <v>56</v>
      </c>
      <c r="G26" s="14"/>
      <c r="H26" s="38">
        <f t="shared" si="7"/>
        <v>0</v>
      </c>
      <c r="I26" s="38">
        <f t="shared" si="8"/>
        <v>0</v>
      </c>
      <c r="J26" s="25"/>
      <c r="K26" s="25"/>
      <c r="L26" s="20" t="s">
        <v>250</v>
      </c>
      <c r="M26" s="31">
        <f t="shared" si="9"/>
        <v>0</v>
      </c>
      <c r="N26" s="31" t="str">
        <f t="shared" si="3"/>
        <v>-</v>
      </c>
      <c r="O26" s="41"/>
    </row>
    <row r="27" spans="1:15" s="37" customFormat="1" ht="58.2" customHeight="1" x14ac:dyDescent="0.25">
      <c r="A27" s="14" t="s">
        <v>138</v>
      </c>
      <c r="B27" s="14" t="s">
        <v>188</v>
      </c>
      <c r="C27" s="14" t="s">
        <v>166</v>
      </c>
      <c r="D27" s="14">
        <v>0</v>
      </c>
      <c r="E27" s="14">
        <v>1500</v>
      </c>
      <c r="F27" s="14">
        <v>1500</v>
      </c>
      <c r="G27" s="14"/>
      <c r="H27" s="38">
        <f t="shared" si="7"/>
        <v>0</v>
      </c>
      <c r="I27" s="38">
        <f t="shared" si="8"/>
        <v>0</v>
      </c>
      <c r="J27" s="25" t="s">
        <v>225</v>
      </c>
      <c r="K27" s="25"/>
      <c r="L27" s="20" t="s">
        <v>250</v>
      </c>
      <c r="M27" s="31">
        <f t="shared" si="9"/>
        <v>0</v>
      </c>
      <c r="N27" s="31" t="str">
        <f t="shared" si="3"/>
        <v>-</v>
      </c>
      <c r="O27" s="41"/>
    </row>
    <row r="28" spans="1:15" s="37" customFormat="1" ht="55.2" x14ac:dyDescent="0.25">
      <c r="A28" s="14" t="s">
        <v>142</v>
      </c>
      <c r="B28" s="14" t="s">
        <v>189</v>
      </c>
      <c r="C28" s="14" t="s">
        <v>166</v>
      </c>
      <c r="D28" s="14">
        <v>0</v>
      </c>
      <c r="E28" s="14">
        <v>18</v>
      </c>
      <c r="F28" s="14">
        <v>18</v>
      </c>
      <c r="G28" s="14"/>
      <c r="H28" s="38">
        <f t="shared" si="7"/>
        <v>0</v>
      </c>
      <c r="I28" s="38">
        <f t="shared" si="8"/>
        <v>0</v>
      </c>
      <c r="J28" s="25" t="s">
        <v>226</v>
      </c>
      <c r="K28" s="25"/>
      <c r="L28" s="20" t="s">
        <v>250</v>
      </c>
      <c r="M28" s="31">
        <f t="shared" si="9"/>
        <v>0</v>
      </c>
      <c r="N28" s="31" t="str">
        <f t="shared" si="3"/>
        <v>-</v>
      </c>
      <c r="O28" s="41"/>
    </row>
    <row r="29" spans="1:15" s="37" customFormat="1" ht="41.4" x14ac:dyDescent="0.25">
      <c r="A29" s="14" t="s">
        <v>180</v>
      </c>
      <c r="B29" s="14" t="s">
        <v>190</v>
      </c>
      <c r="C29" s="14" t="s">
        <v>166</v>
      </c>
      <c r="D29" s="14">
        <v>0</v>
      </c>
      <c r="E29" s="14">
        <v>36</v>
      </c>
      <c r="F29" s="14">
        <v>36</v>
      </c>
      <c r="G29" s="14"/>
      <c r="H29" s="38">
        <f t="shared" si="7"/>
        <v>0</v>
      </c>
      <c r="I29" s="38">
        <f t="shared" si="8"/>
        <v>0</v>
      </c>
      <c r="J29" s="25"/>
      <c r="K29" s="25"/>
      <c r="L29" s="20" t="s">
        <v>250</v>
      </c>
      <c r="M29" s="31">
        <f t="shared" si="9"/>
        <v>0</v>
      </c>
      <c r="N29" s="31" t="str">
        <f t="shared" si="3"/>
        <v>-</v>
      </c>
      <c r="O29" s="41"/>
    </row>
    <row r="30" spans="1:15" s="37" customFormat="1" ht="41.25" customHeight="1" x14ac:dyDescent="0.25">
      <c r="A30" s="14" t="s">
        <v>181</v>
      </c>
      <c r="B30" s="14" t="s">
        <v>191</v>
      </c>
      <c r="C30" s="14" t="s">
        <v>166</v>
      </c>
      <c r="D30" s="14">
        <v>0</v>
      </c>
      <c r="E30" s="14">
        <v>62</v>
      </c>
      <c r="F30" s="14">
        <v>62</v>
      </c>
      <c r="G30" s="14">
        <v>62</v>
      </c>
      <c r="H30" s="38">
        <f t="shared" si="7"/>
        <v>100</v>
      </c>
      <c r="I30" s="38">
        <f t="shared" si="8"/>
        <v>100</v>
      </c>
      <c r="J30" s="25" t="s">
        <v>224</v>
      </c>
      <c r="K30" s="25"/>
      <c r="L30" s="20" t="s">
        <v>91</v>
      </c>
      <c r="M30" s="31">
        <f t="shared" si="9"/>
        <v>100</v>
      </c>
      <c r="N30" s="31" t="str">
        <f t="shared" si="3"/>
        <v>-</v>
      </c>
      <c r="O30" s="41"/>
    </row>
    <row r="31" spans="1:15" s="37" customFormat="1" ht="117.75" customHeight="1" x14ac:dyDescent="0.25">
      <c r="A31" s="14" t="s">
        <v>182</v>
      </c>
      <c r="B31" s="14" t="s">
        <v>192</v>
      </c>
      <c r="C31" s="14" t="s">
        <v>173</v>
      </c>
      <c r="D31" s="14">
        <v>0</v>
      </c>
      <c r="E31" s="14">
        <v>2</v>
      </c>
      <c r="F31" s="14">
        <v>2</v>
      </c>
      <c r="G31" s="14">
        <v>2</v>
      </c>
      <c r="H31" s="38">
        <f t="shared" si="7"/>
        <v>100</v>
      </c>
      <c r="I31" s="38">
        <f t="shared" si="8"/>
        <v>100</v>
      </c>
      <c r="J31" s="25" t="s">
        <v>224</v>
      </c>
      <c r="K31" s="25"/>
      <c r="L31" s="20" t="s">
        <v>91</v>
      </c>
      <c r="M31" s="31">
        <f t="shared" si="9"/>
        <v>100</v>
      </c>
      <c r="N31" s="31" t="str">
        <f t="shared" si="3"/>
        <v>-</v>
      </c>
      <c r="O31" s="41"/>
    </row>
    <row r="32" spans="1:15" ht="66.75" customHeight="1" x14ac:dyDescent="0.25">
      <c r="A32" s="19" t="s">
        <v>83</v>
      </c>
      <c r="B32" s="19" t="s">
        <v>197</v>
      </c>
      <c r="C32" s="19"/>
      <c r="D32" s="19"/>
      <c r="E32" s="19"/>
      <c r="F32" s="19"/>
      <c r="G32" s="19"/>
      <c r="H32" s="38"/>
      <c r="I32" s="38"/>
      <c r="J32" s="29"/>
      <c r="K32" s="29"/>
      <c r="L32" s="21"/>
      <c r="M32" s="30">
        <f>AVERAGE(M33:M35)</f>
        <v>100</v>
      </c>
      <c r="N32" s="30">
        <f>AVERAGE(N33:N34,N35)</f>
        <v>100</v>
      </c>
      <c r="O32" s="33"/>
    </row>
    <row r="33" spans="1:15" ht="82.8" x14ac:dyDescent="0.25">
      <c r="A33" s="14" t="s">
        <v>31</v>
      </c>
      <c r="B33" s="14" t="s">
        <v>198</v>
      </c>
      <c r="C33" s="14" t="s">
        <v>173</v>
      </c>
      <c r="D33" s="14">
        <v>1</v>
      </c>
      <c r="E33" s="14">
        <v>51</v>
      </c>
      <c r="F33" s="14">
        <v>51</v>
      </c>
      <c r="G33" s="14">
        <v>51</v>
      </c>
      <c r="H33" s="38">
        <f>G33/F33*100</f>
        <v>100</v>
      </c>
      <c r="I33" s="38">
        <f>G33/E33*100</f>
        <v>100</v>
      </c>
      <c r="J33" s="25"/>
      <c r="K33" s="25"/>
      <c r="L33" s="20" t="s">
        <v>87</v>
      </c>
      <c r="M33" s="31">
        <f>MIN(G33/F33*100, 100)</f>
        <v>100</v>
      </c>
      <c r="N33" s="31">
        <f t="shared" si="3"/>
        <v>100</v>
      </c>
      <c r="O33" s="33"/>
    </row>
    <row r="34" spans="1:15" ht="140.25" customHeight="1" x14ac:dyDescent="0.25">
      <c r="A34" s="14" t="s">
        <v>72</v>
      </c>
      <c r="B34" s="14" t="s">
        <v>199</v>
      </c>
      <c r="C34" s="14" t="s">
        <v>173</v>
      </c>
      <c r="D34" s="14">
        <v>1</v>
      </c>
      <c r="E34" s="14">
        <v>9</v>
      </c>
      <c r="F34" s="14">
        <v>9</v>
      </c>
      <c r="G34" s="14">
        <v>9</v>
      </c>
      <c r="H34" s="38">
        <f>G34/F34*100</f>
        <v>100</v>
      </c>
      <c r="I34" s="38">
        <f>G34/E34*100</f>
        <v>100</v>
      </c>
      <c r="J34" s="25"/>
      <c r="K34" s="25"/>
      <c r="L34" s="20" t="s">
        <v>92</v>
      </c>
      <c r="M34" s="31">
        <f>MIN(G34/F34*100, 100)</f>
        <v>100</v>
      </c>
      <c r="N34" s="31">
        <f t="shared" si="3"/>
        <v>100</v>
      </c>
      <c r="O34" s="33"/>
    </row>
    <row r="35" spans="1:15" ht="72.75" customHeight="1" x14ac:dyDescent="0.25">
      <c r="A35" s="14" t="s">
        <v>194</v>
      </c>
      <c r="B35" s="14" t="s">
        <v>200</v>
      </c>
      <c r="C35" s="14" t="s">
        <v>173</v>
      </c>
      <c r="D35" s="14">
        <v>0</v>
      </c>
      <c r="E35" s="14">
        <v>6</v>
      </c>
      <c r="F35" s="14">
        <v>6</v>
      </c>
      <c r="G35" s="14">
        <v>6</v>
      </c>
      <c r="H35" s="38">
        <f>G35/F35*100</f>
        <v>100</v>
      </c>
      <c r="I35" s="38">
        <f>G35/E35*100</f>
        <v>100</v>
      </c>
      <c r="J35" s="25"/>
      <c r="K35" s="25"/>
      <c r="L35" s="20" t="s">
        <v>89</v>
      </c>
      <c r="M35" s="31">
        <f>MIN(G35/F35*100, 100)</f>
        <v>100</v>
      </c>
      <c r="N35" s="31" t="str">
        <f t="shared" si="3"/>
        <v>-</v>
      </c>
      <c r="O35" s="33"/>
    </row>
    <row r="36" spans="1:15" ht="82.8" x14ac:dyDescent="0.25">
      <c r="A36" s="14" t="s">
        <v>195</v>
      </c>
      <c r="B36" s="14" t="s">
        <v>201</v>
      </c>
      <c r="C36" s="14" t="s">
        <v>82</v>
      </c>
      <c r="D36" s="14">
        <v>1</v>
      </c>
      <c r="E36" s="14">
        <v>7</v>
      </c>
      <c r="F36" s="14">
        <v>7</v>
      </c>
      <c r="G36" s="14">
        <v>0</v>
      </c>
      <c r="H36" s="38">
        <f>G36/F36*100</f>
        <v>0</v>
      </c>
      <c r="I36" s="38">
        <f>G36/E36*100</f>
        <v>0</v>
      </c>
      <c r="J36" s="25"/>
      <c r="K36" s="25"/>
      <c r="L36" s="20" t="s">
        <v>250</v>
      </c>
      <c r="M36" s="31">
        <f>MIN(G36/F36*100, 100)</f>
        <v>0</v>
      </c>
      <c r="N36" s="31" t="s">
        <v>23</v>
      </c>
      <c r="O36" s="33"/>
    </row>
    <row r="37" spans="1:15" ht="56.25" customHeight="1" x14ac:dyDescent="0.25">
      <c r="A37" s="14" t="s">
        <v>196</v>
      </c>
      <c r="B37" s="14" t="s">
        <v>202</v>
      </c>
      <c r="C37" s="14" t="s">
        <v>173</v>
      </c>
      <c r="D37" s="14">
        <v>0</v>
      </c>
      <c r="E37" s="14">
        <v>0</v>
      </c>
      <c r="F37" s="14">
        <v>0</v>
      </c>
      <c r="G37" s="14">
        <v>0</v>
      </c>
      <c r="H37" s="38" t="e">
        <f>G37/F37*100</f>
        <v>#DIV/0!</v>
      </c>
      <c r="I37" s="38" t="e">
        <f>G37/E37*100</f>
        <v>#DIV/0!</v>
      </c>
      <c r="J37" s="25"/>
      <c r="K37" s="25"/>
      <c r="L37" s="20" t="s">
        <v>89</v>
      </c>
      <c r="M37" s="31" t="e">
        <f>MIN(G37/F37*100, 100)</f>
        <v>#DIV/0!</v>
      </c>
      <c r="N37" s="31" t="str">
        <f t="shared" si="3"/>
        <v>-</v>
      </c>
    </row>
  </sheetData>
  <mergeCells count="15">
    <mergeCell ref="A1:N1"/>
    <mergeCell ref="K4:K6"/>
    <mergeCell ref="L4:L6"/>
    <mergeCell ref="M4:M6"/>
    <mergeCell ref="N4:N6"/>
    <mergeCell ref="A2:N2"/>
    <mergeCell ref="E4:G4"/>
    <mergeCell ref="F5:G5"/>
    <mergeCell ref="D4:D6"/>
    <mergeCell ref="H4:H6"/>
    <mergeCell ref="I4:I6"/>
    <mergeCell ref="J4:J6"/>
    <mergeCell ref="A4:A6"/>
    <mergeCell ref="B4:B6"/>
    <mergeCell ref="C4:C6"/>
  </mergeCells>
  <pageMargins left="0.25" right="0.25" top="0.75" bottom="0.75" header="0.3" footer="0.3"/>
  <pageSetup paperSize="9" scale="48"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F6"/>
  <sheetViews>
    <sheetView topLeftCell="C1" workbookViewId="0">
      <selection activeCell="F6" sqref="F6"/>
    </sheetView>
  </sheetViews>
  <sheetFormatPr defaultColWidth="8.88671875" defaultRowHeight="14.4" x14ac:dyDescent="0.3"/>
  <cols>
    <col min="1" max="1" width="4.88671875" style="1" customWidth="1"/>
    <col min="2" max="2" width="33" style="1" customWidth="1"/>
    <col min="3" max="3" width="38" style="1" customWidth="1"/>
    <col min="4" max="4" width="47.33203125" style="1" customWidth="1"/>
    <col min="5" max="5" width="67" style="1" customWidth="1"/>
    <col min="6" max="6" width="34" style="1" customWidth="1"/>
    <col min="7" max="16384" width="8.88671875" style="1"/>
  </cols>
  <sheetData>
    <row r="1" spans="1:6" x14ac:dyDescent="0.3">
      <c r="A1" s="152" t="s">
        <v>57</v>
      </c>
      <c r="B1" s="152"/>
      <c r="C1" s="152"/>
      <c r="D1" s="152"/>
      <c r="E1" s="152"/>
      <c r="F1" s="152"/>
    </row>
    <row r="2" spans="1:6" x14ac:dyDescent="0.3">
      <c r="A2" s="152" t="s">
        <v>246</v>
      </c>
      <c r="B2" s="152"/>
      <c r="C2" s="152"/>
      <c r="D2" s="152"/>
      <c r="E2" s="152"/>
      <c r="F2" s="152"/>
    </row>
    <row r="4" spans="1:6" ht="28.2" x14ac:dyDescent="0.3">
      <c r="A4" s="3" t="s">
        <v>0</v>
      </c>
      <c r="B4" s="3" t="s">
        <v>65</v>
      </c>
      <c r="C4" s="3" t="s">
        <v>66</v>
      </c>
      <c r="D4" s="3" t="s">
        <v>67</v>
      </c>
      <c r="E4" s="3" t="s">
        <v>68</v>
      </c>
      <c r="F4" s="3" t="s">
        <v>69</v>
      </c>
    </row>
    <row r="5" spans="1:6" s="8" customFormat="1" ht="20.399999999999999" customHeight="1" x14ac:dyDescent="0.3">
      <c r="A5" s="5">
        <v>2</v>
      </c>
      <c r="B5" s="151" t="s">
        <v>73</v>
      </c>
      <c r="C5" s="151"/>
      <c r="D5" s="151"/>
      <c r="E5" s="5"/>
      <c r="F5" s="5"/>
    </row>
    <row r="6" spans="1:6" ht="409.5" customHeight="1" x14ac:dyDescent="0.3">
      <c r="A6" s="4" t="s">
        <v>75</v>
      </c>
      <c r="B6" s="4" t="s">
        <v>207</v>
      </c>
      <c r="C6" s="4" t="s">
        <v>208</v>
      </c>
      <c r="D6" s="4" t="s">
        <v>209</v>
      </c>
      <c r="E6" s="4" t="s">
        <v>233</v>
      </c>
      <c r="F6" s="25" t="s">
        <v>286</v>
      </c>
    </row>
  </sheetData>
  <mergeCells count="3">
    <mergeCell ref="B5:D5"/>
    <mergeCell ref="A1:F1"/>
    <mergeCell ref="A2:F2"/>
  </mergeCells>
  <pageMargins left="0.25" right="0.25" top="0.75" bottom="0.75" header="0.3" footer="0.3"/>
  <pageSetup paperSize="9" scale="6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8"/>
  <sheetViews>
    <sheetView zoomScaleNormal="100" zoomScaleSheetLayoutView="100" workbookViewId="0">
      <selection activeCell="C8" sqref="C8"/>
    </sheetView>
  </sheetViews>
  <sheetFormatPr defaultColWidth="8.88671875" defaultRowHeight="13.8" x14ac:dyDescent="0.25"/>
  <cols>
    <col min="1" max="1" width="6.33203125" style="6" customWidth="1"/>
    <col min="2" max="2" width="69.88671875" style="6" customWidth="1"/>
    <col min="3" max="3" width="14.5546875" style="6" customWidth="1"/>
    <col min="4" max="4" width="14.88671875" style="6" customWidth="1"/>
    <col min="5" max="5" width="16.33203125" style="6" customWidth="1"/>
    <col min="6" max="6" width="14.33203125" style="6" customWidth="1"/>
    <col min="7" max="7" width="16.44140625" style="6" customWidth="1"/>
    <col min="8" max="8" width="46.44140625" style="6" customWidth="1"/>
    <col min="9" max="16384" width="8.88671875" style="6"/>
  </cols>
  <sheetData>
    <row r="1" spans="1:8" x14ac:dyDescent="0.25">
      <c r="A1" s="152" t="s">
        <v>203</v>
      </c>
      <c r="B1" s="152"/>
      <c r="C1" s="152"/>
      <c r="D1" s="152"/>
      <c r="E1" s="152"/>
      <c r="F1" s="152"/>
      <c r="G1" s="152"/>
      <c r="H1" s="152"/>
    </row>
    <row r="2" spans="1:8" x14ac:dyDescent="0.25">
      <c r="A2" s="152" t="s">
        <v>246</v>
      </c>
      <c r="B2" s="152"/>
      <c r="C2" s="152"/>
      <c r="D2" s="152"/>
      <c r="E2" s="152"/>
      <c r="F2" s="152"/>
      <c r="G2" s="152"/>
      <c r="H2" s="152"/>
    </row>
    <row r="3" spans="1:8" ht="14.4" customHeight="1" x14ac:dyDescent="0.25"/>
    <row r="4" spans="1:8" ht="82.8" x14ac:dyDescent="0.25">
      <c r="A4" s="9" t="s">
        <v>0</v>
      </c>
      <c r="B4" s="9" t="s">
        <v>58</v>
      </c>
      <c r="C4" s="9" t="s">
        <v>59</v>
      </c>
      <c r="D4" s="9" t="s">
        <v>60</v>
      </c>
      <c r="E4" s="9" t="s">
        <v>61</v>
      </c>
      <c r="F4" s="9" t="s">
        <v>62</v>
      </c>
      <c r="G4" s="9" t="s">
        <v>63</v>
      </c>
      <c r="H4" s="9" t="s">
        <v>64</v>
      </c>
    </row>
    <row r="5" spans="1:8" s="7" customFormat="1" ht="26.25" customHeight="1" x14ac:dyDescent="0.25">
      <c r="A5" s="10" t="s">
        <v>24</v>
      </c>
      <c r="B5" s="15" t="s">
        <v>161</v>
      </c>
      <c r="C5" s="15" t="s">
        <v>250</v>
      </c>
      <c r="D5" s="11">
        <f>Показатели!M7</f>
        <v>100</v>
      </c>
      <c r="E5" s="11">
        <f>IF(Показатели!N7="-",100,Показатели!N7)</f>
        <v>100</v>
      </c>
      <c r="F5" s="11">
        <f>('Основной отчет'!I8+0.5*'Основной отчет'!I9)/'Основной отчет'!I7*100</f>
        <v>50</v>
      </c>
      <c r="G5" s="11">
        <f>D5*0.3+(E5-3)*0.35+F5*0.35</f>
        <v>81.449999999999989</v>
      </c>
      <c r="H5" s="15" t="str">
        <f>IF(G5&gt;=97,"Высокий уровень эффективности",IF(G5&gt;=92,"Средний уровень эффективности",IF(G5&gt;=85,"Уровень эффективности ниже среднего","Низкий уровень эффективности")))</f>
        <v>Низкий уровень эффективности</v>
      </c>
    </row>
    <row r="6" spans="1:8" ht="48" customHeight="1" x14ac:dyDescent="0.25">
      <c r="A6" s="2" t="s">
        <v>25</v>
      </c>
      <c r="B6" s="9" t="s">
        <v>204</v>
      </c>
      <c r="C6" s="9" t="s">
        <v>87</v>
      </c>
      <c r="D6" s="13">
        <f>Показатели!M14</f>
        <v>93.875922924636072</v>
      </c>
      <c r="E6" s="13">
        <f>IF(Показатели!N14="-",100,Показатели!N14)</f>
        <v>100</v>
      </c>
      <c r="F6" s="13">
        <f>('Основной отчет'!I58+0.5*'Основной отчет'!I59)/'Основной отчет'!I57*100</f>
        <v>50</v>
      </c>
      <c r="G6" s="13">
        <f>D6*0.3+(E6-3)*0.35+F6*0.35</f>
        <v>79.612776877390814</v>
      </c>
      <c r="H6" s="9" t="str">
        <f>IF(G6&gt;=97,"Высокий уровень эффективности",IF(G6&gt;=92,"Средний уровень эффективности",IF(G6&gt;=85,"Уровень эффективности ниже среднего","Низкий уровень эффективности")))</f>
        <v>Низкий уровень эффективности</v>
      </c>
    </row>
    <row r="7" spans="1:8" ht="84.75" customHeight="1" x14ac:dyDescent="0.25">
      <c r="A7" s="2" t="s">
        <v>51</v>
      </c>
      <c r="B7" s="9" t="s">
        <v>205</v>
      </c>
      <c r="C7" s="9" t="s">
        <v>250</v>
      </c>
      <c r="D7" s="13">
        <f>Показатели!M21</f>
        <v>37.015384615384619</v>
      </c>
      <c r="E7" s="13">
        <f>IF(Показатели!N21="-",100,Показатели!N21)</f>
        <v>100</v>
      </c>
      <c r="F7" s="13">
        <f>('Основной отчет'!I123+0.5*'Основной отчет'!I124)/'Основной отчет'!I122*100</f>
        <v>50</v>
      </c>
      <c r="G7" s="13">
        <f>D7*0.3+(E7-3)*0.35+F7*0.35</f>
        <v>62.554615384615381</v>
      </c>
      <c r="H7" s="9" t="str">
        <f>IF(G7&gt;=97,"Высокий уровень эффективности",IF(G7&gt;=92,"Средний уровень эффективности",IF(G7&gt;=85,"Уровень эффективности ниже среднего","Низкий уровень эффективности")))</f>
        <v>Низкий уровень эффективности</v>
      </c>
    </row>
    <row r="8" spans="1:8" ht="41.4" x14ac:dyDescent="0.25">
      <c r="A8" s="2" t="s">
        <v>52</v>
      </c>
      <c r="B8" s="9" t="s">
        <v>206</v>
      </c>
      <c r="C8" s="9" t="s">
        <v>250</v>
      </c>
      <c r="D8" s="13">
        <f>Показатели!M32</f>
        <v>100</v>
      </c>
      <c r="E8" s="13">
        <f>IF(Показатели!N32="-",100,Показатели!N32)</f>
        <v>100</v>
      </c>
      <c r="F8" s="13">
        <f>('Основной отчет'!I238+0.5*'Основной отчет'!I239)/'Основной отчет'!I237*100</f>
        <v>50</v>
      </c>
      <c r="G8" s="13">
        <f>D8*0.3+(E8-3)*0.35+F8*0.35</f>
        <v>81.449999999999989</v>
      </c>
      <c r="H8" s="9" t="str">
        <f>IF(G8&gt;=97,"Высокий уровень эффективности",IF(G8&gt;=92,"Средний уровень эффективности",IF(G8&gt;=85,"Уровень эффективности ниже среднего","Низкий уровень эффективности")))</f>
        <v>Низкий уровень эффективности</v>
      </c>
    </row>
  </sheetData>
  <mergeCells count="2">
    <mergeCell ref="A1:H1"/>
    <mergeCell ref="A2:H2"/>
  </mergeCells>
  <pageMargins left="0.23622047244094491" right="0.23622047244094491" top="0.74803149606299213" bottom="0.74803149606299213"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27:T31"/>
  <sheetViews>
    <sheetView view="pageBreakPreview" zoomScale="60" workbookViewId="0">
      <selection activeCell="F28" sqref="F28"/>
    </sheetView>
  </sheetViews>
  <sheetFormatPr defaultRowHeight="14.4" x14ac:dyDescent="0.3"/>
  <sheetData>
    <row r="27" spans="10:20" ht="82.8" x14ac:dyDescent="0.3">
      <c r="J27" s="153" t="s">
        <v>51</v>
      </c>
      <c r="K27" s="153" t="s">
        <v>106</v>
      </c>
      <c r="L27" s="2" t="s">
        <v>13</v>
      </c>
      <c r="M27" s="12">
        <f>M28+M29+M30</f>
        <v>0</v>
      </c>
      <c r="N27" s="12">
        <f>N28+N29+N30</f>
        <v>0</v>
      </c>
      <c r="O27" s="12" t="e">
        <f>N27/M27*100</f>
        <v>#DIV/0!</v>
      </c>
      <c r="P27" s="154"/>
      <c r="Q27" s="4" t="s">
        <v>18</v>
      </c>
      <c r="R27" s="9">
        <f>COUNTA(R32:R56)</f>
        <v>0</v>
      </c>
      <c r="S27" s="154" t="s">
        <v>70</v>
      </c>
      <c r="T27" s="154"/>
    </row>
    <row r="28" spans="10:20" ht="55.2" x14ac:dyDescent="0.3">
      <c r="J28" s="153"/>
      <c r="K28" s="153"/>
      <c r="L28" s="2" t="s">
        <v>14</v>
      </c>
      <c r="M28" s="12">
        <f>M33+M38+M43+M48+M53</f>
        <v>0</v>
      </c>
      <c r="N28" s="12">
        <f>N33+N38+N43+N48+N53</f>
        <v>0</v>
      </c>
      <c r="O28" s="12" t="e">
        <f>N28/M28*100</f>
        <v>#DIV/0!</v>
      </c>
      <c r="P28" s="155"/>
      <c r="Q28" s="4" t="s">
        <v>19</v>
      </c>
      <c r="R28" s="9">
        <f>COUNTIF(R32:R56,"да")</f>
        <v>0</v>
      </c>
      <c r="S28" s="155"/>
      <c r="T28" s="155"/>
    </row>
    <row r="29" spans="10:20" ht="41.4" x14ac:dyDescent="0.3">
      <c r="J29" s="153"/>
      <c r="K29" s="153"/>
      <c r="L29" s="2" t="s">
        <v>16</v>
      </c>
      <c r="M29" s="12">
        <f t="shared" ref="M29:N31" si="0">M34+M39+M44+M49+M54</f>
        <v>0</v>
      </c>
      <c r="N29" s="12">
        <f t="shared" si="0"/>
        <v>0</v>
      </c>
      <c r="O29" s="12" t="e">
        <f>N29/M29*100</f>
        <v>#DIV/0!</v>
      </c>
      <c r="P29" s="155"/>
      <c r="Q29" s="4" t="s">
        <v>20</v>
      </c>
      <c r="R29" s="9">
        <f>COUNTIF(R32:R56,"частично")</f>
        <v>0</v>
      </c>
      <c r="S29" s="155"/>
      <c r="T29" s="155"/>
    </row>
    <row r="30" spans="10:20" ht="41.4" x14ac:dyDescent="0.3">
      <c r="J30" s="153"/>
      <c r="K30" s="153"/>
      <c r="L30" s="2" t="s">
        <v>15</v>
      </c>
      <c r="M30" s="12">
        <f t="shared" si="0"/>
        <v>0</v>
      </c>
      <c r="N30" s="12">
        <f t="shared" si="0"/>
        <v>0</v>
      </c>
      <c r="O30" s="12"/>
      <c r="P30" s="155"/>
      <c r="Q30" s="4" t="s">
        <v>21</v>
      </c>
      <c r="R30" s="9">
        <f>COUNTIF(R32:R56,"нет")</f>
        <v>0</v>
      </c>
      <c r="S30" s="155"/>
      <c r="T30" s="155"/>
    </row>
    <row r="31" spans="10:20" ht="69" x14ac:dyDescent="0.3">
      <c r="J31" s="153"/>
      <c r="K31" s="153"/>
      <c r="L31" s="2" t="s">
        <v>17</v>
      </c>
      <c r="M31" s="12">
        <f t="shared" si="0"/>
        <v>0</v>
      </c>
      <c r="N31" s="12">
        <f t="shared" si="0"/>
        <v>0</v>
      </c>
      <c r="O31" s="12"/>
      <c r="P31" s="156"/>
      <c r="Q31" s="4" t="s">
        <v>22</v>
      </c>
      <c r="R31" s="13" t="e">
        <f>R28/R27*100</f>
        <v>#DIV/0!</v>
      </c>
      <c r="S31" s="156"/>
      <c r="T31" s="156"/>
    </row>
  </sheetData>
  <mergeCells count="5">
    <mergeCell ref="J27:J31"/>
    <mergeCell ref="K27:K31"/>
    <mergeCell ref="P27:P31"/>
    <mergeCell ref="S27:S31"/>
    <mergeCell ref="T27:T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4</vt:i4>
      </vt:variant>
    </vt:vector>
  </HeadingPairs>
  <TitlesOfParts>
    <vt:vector size="9" baseType="lpstr">
      <vt:lpstr>Основной отчет</vt:lpstr>
      <vt:lpstr>Показатели</vt:lpstr>
      <vt:lpstr>Финансовая поддержка</vt:lpstr>
      <vt:lpstr>Оценка эффективности</vt:lpstr>
      <vt:lpstr>Лист1</vt:lpstr>
      <vt:lpstr>'Основной отчет'!_ftn1</vt:lpstr>
      <vt:lpstr>'Основной отчет'!_ftn2</vt:lpstr>
      <vt:lpstr>'Основной отчет'!_ftnref1</vt:lpstr>
      <vt:lpstr>'Основной отчет'!_ftnref2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2025-08-08T12:10:50Z</dcterms:modified>
</cp:coreProperties>
</file>