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2490" tabRatio="817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OLE_LINK1" localSheetId="0">'приложение 1'!#REF!</definedName>
    <definedName name="_xlnm.Print_Titles" localSheetId="0">'приложение 1'!$8:$15</definedName>
    <definedName name="_xlnm.Print_Titles" localSheetId="1">'приложение 2'!$9:$10</definedName>
    <definedName name="_xlnm.Print_Titles" localSheetId="2">'приложение 3'!$11:$11</definedName>
    <definedName name="_xlnm.Print_Titles" localSheetId="3">'приложение 4'!$7:$10</definedName>
    <definedName name="_xlnm.Print_Area" localSheetId="0">'приложение 1'!$B$1:$P$44</definedName>
    <definedName name="_xlnm.Print_Area" localSheetId="1">'приложение 2'!$A$1:$K$47</definedName>
    <definedName name="_xlnm.Print_Area" localSheetId="2">'приложение 3'!$A$1:$C$40</definedName>
    <definedName name="_xlnm.Print_Area" localSheetId="3">'приложение 4'!$D$1:$S$39</definedName>
    <definedName name="_xlnm.Print_Area" localSheetId="4">'приложение 5'!$A$1:$G$37</definedName>
  </definedNames>
  <calcPr fullCalcOnLoad="1" fullPrecision="0"/>
</workbook>
</file>

<file path=xl/sharedStrings.xml><?xml version="1.0" encoding="utf-8"?>
<sst xmlns="http://schemas.openxmlformats.org/spreadsheetml/2006/main" count="360" uniqueCount="181">
  <si>
    <t>№ п/п</t>
  </si>
  <si>
    <t>Адреса жилых домов</t>
  </si>
  <si>
    <t>Год постройки</t>
  </si>
  <si>
    <t>Показатели выполнения программы</t>
  </si>
  <si>
    <t>Единицы измерения</t>
  </si>
  <si>
    <t>тыс. кв. м</t>
  </si>
  <si>
    <t>2. Доля многоквартирных домов, в которых проведен капитальный ремонт:</t>
  </si>
  <si>
    <t>проценты</t>
  </si>
  <si>
    <t>млн. руб.</t>
  </si>
  <si>
    <t>тыс. руб./кв.м</t>
  </si>
  <si>
    <t>адрес многоквартирного дома</t>
  </si>
  <si>
    <t>Год</t>
  </si>
  <si>
    <t>группа капитальности</t>
  </si>
  <si>
    <t>Площадь помещений, кв.м</t>
  </si>
  <si>
    <t>планируемый перечень работ по капитальному ремонту</t>
  </si>
  <si>
    <t>ввода в эксплуатацию</t>
  </si>
  <si>
    <t>общая площадь МКД, всего:</t>
  </si>
  <si>
    <t>в том числе жилых</t>
  </si>
  <si>
    <t>всего:</t>
  </si>
  <si>
    <t>в том числе за счет средств</t>
  </si>
  <si>
    <t>в том числе жилых помещений, находящихся в собственности граждан</t>
  </si>
  <si>
    <t>за счет средств Фонда</t>
  </si>
  <si>
    <t>за счет средств бюджета субъекта Российской Федерации</t>
  </si>
  <si>
    <t>предусмотренные в местном бюджете на долевое финансирование</t>
  </si>
  <si>
    <t>Общая площадь, кв. м</t>
  </si>
  <si>
    <t>ОАО "Севжилсервис"</t>
  </si>
  <si>
    <t>ТСЖ "Самойловой 4"</t>
  </si>
  <si>
    <t>ТСЖ "Лето"</t>
  </si>
  <si>
    <t>ТСЖ "Калевалла"</t>
  </si>
  <si>
    <t>ЖСК "Рыбак Заполярья"</t>
  </si>
  <si>
    <t>ЖСК "Мурманск-11"</t>
  </si>
  <si>
    <t xml:space="preserve"> -</t>
  </si>
  <si>
    <t>III</t>
  </si>
  <si>
    <t>Обоснование объема долевого финансирования проведения капитального ремонта многоквартирных домов,</t>
  </si>
  <si>
    <t>расположенных на территории муниципального образования город Мурманск, в 2009 году</t>
  </si>
  <si>
    <t>ТСЖ "ул. Радищева 15"</t>
  </si>
  <si>
    <t>субсидия</t>
  </si>
  <si>
    <r>
      <t>1. Жилищный фонд, в котором будет проведен капитальный ремонт в 2009 году:</t>
    </r>
  </si>
  <si>
    <t>3. Доля многоквартирных домов, в которых будут установлены приборы учета потребления ресурсов и (или) узлы управления (тепловой энергии, горячей и холодной воды, электрической энергии, газа) в 2009 году</t>
  </si>
  <si>
    <t>4. Доля многоквартирных домов, в которых будет проведен в 2009 году комплексный капитальный ремонт согласно установленному Федеральным законом перечню работ по капитальному ремонту:</t>
  </si>
  <si>
    <t>5. Объем финансирования проведения капитального ремонта в 2009 году,</t>
  </si>
  <si>
    <t>6. Средняя стоимость проведения капитального ремонта в 2009 году</t>
  </si>
  <si>
    <t>7. Изменение количества многоквартирных домов, в которых созданы товарищества собственников жилья:</t>
  </si>
  <si>
    <t xml:space="preserve">8. Доля израсходованных средств лимита финансовой поддержки Фонда Мурманской области на проведение капитального ремонта многоквартирных домов в 2009 году: </t>
  </si>
  <si>
    <t>шт.</t>
  </si>
  <si>
    <t>ремонт крыши</t>
  </si>
  <si>
    <t xml:space="preserve">  ремонт внутридомовых инженерных систем тепло-,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воды), ремонт крыши</t>
  </si>
  <si>
    <t>Виды работ по капитальному ремонту МКД, предусмотренные п. 3 ст. 15 185-ФЗ</t>
  </si>
  <si>
    <t>В том числе</t>
  </si>
  <si>
    <t>утепление и ремонт фасадов</t>
  </si>
  <si>
    <t>кв.м</t>
  </si>
  <si>
    <t>ед.</t>
  </si>
  <si>
    <t>последнего комплексного капитального ремонта</t>
  </si>
  <si>
    <t>Достигнуто в результате выполнения программы</t>
  </si>
  <si>
    <t>улица Софьи Перовской, дом 39</t>
  </si>
  <si>
    <t>улица имени Самойловой, дом 4</t>
  </si>
  <si>
    <t>улица Радищева, дом 15</t>
  </si>
  <si>
    <t>улица Профсоюзов, дом 22</t>
  </si>
  <si>
    <t>улица Героев Рыбачьего, дом 27</t>
  </si>
  <si>
    <t>улица Заводская, дом 1</t>
  </si>
  <si>
    <t>улица адмирала флота Лобова, дом 33/2</t>
  </si>
  <si>
    <t>улица адмирала флота Лобова, дом 37</t>
  </si>
  <si>
    <t>проспект Героев-североморцев, дом 3 корпус 1</t>
  </si>
  <si>
    <t>проспект Героев-североморцев, дом 13</t>
  </si>
  <si>
    <t>процент</t>
  </si>
  <si>
    <t xml:space="preserve">шт. </t>
  </si>
  <si>
    <t>ИТОГО</t>
  </si>
  <si>
    <t xml:space="preserve">улица Гагарина, дом 15 </t>
  </si>
  <si>
    <t>улица имени Ивана Ивановича Александрова, дом 16</t>
  </si>
  <si>
    <t>улица имени Ивана Ивановича Александрова, дом 18</t>
  </si>
  <si>
    <t>проспект Героев-североморцев, дом 7 корпус 2</t>
  </si>
  <si>
    <t>проспект Героев-североморцев, дом 9 корпус 2</t>
  </si>
  <si>
    <t>улица адмирала флота Лобова, дом 35</t>
  </si>
  <si>
    <t>улица Коминтерна, дом 15</t>
  </si>
  <si>
    <t>улица Коминтерна, дом 9/1</t>
  </si>
  <si>
    <t>улица капитана Буркова, дом 11/18</t>
  </si>
  <si>
    <t>улица Радищева, дом 16</t>
  </si>
  <si>
    <t>улица Чапаева, дом 10</t>
  </si>
  <si>
    <t>проспект Героев-североморцев, дом 7 корпус 1</t>
  </si>
  <si>
    <t>улица имени Аскольдовцев, дом 32</t>
  </si>
  <si>
    <t>улица имени Аскольдовцев, дом 36</t>
  </si>
  <si>
    <t>улица Октябрьская, дом 32</t>
  </si>
  <si>
    <t>улица Челюскинцев, дом 31</t>
  </si>
  <si>
    <t>1937-1951</t>
  </si>
  <si>
    <t>ТСЖ "Ленина 77"</t>
  </si>
  <si>
    <t>ОАО "УК "Жилцентр"</t>
  </si>
  <si>
    <t>II</t>
  </si>
  <si>
    <t>улица имени капитана П.А. Пономарева, дом 12</t>
  </si>
  <si>
    <t>ремонт крыши, утепление и ремонт фасада</t>
  </si>
  <si>
    <t>улица им. Генерала А.А. Журбы, дом 10</t>
  </si>
  <si>
    <t>улица Гагарина, дом 15</t>
  </si>
  <si>
    <t>проспект имени Ленина, дом 77</t>
  </si>
  <si>
    <t>Последний вариант для программы</t>
  </si>
  <si>
    <t>Сумма без округл.</t>
  </si>
  <si>
    <t>Сумма Excel</t>
  </si>
  <si>
    <t>варьирование стоимости работ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</si>
  <si>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</t>
  </si>
  <si>
    <t>ремонт внутридомовых инженерных систем тепло-, электроснабжения, водоотведения, в том числе с установкой приборов учета потребления ресурсов и узлов управления (тепловой энергии, электрической энергии)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</si>
  <si>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</si>
  <si>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подвального помещения, относящегося к общему имуществу дома, ремонт крыши, утепление и ремонт фасада, замена лифтового оборудования, признанного непригодным для эксплуатации, при необходимости ремонт лифтовых шахт</t>
  </si>
  <si>
    <t>Резервный перечень домов</t>
  </si>
  <si>
    <t>Контрольная сумма по вертикали (сумма 1+2 строк)</t>
  </si>
  <si>
    <t xml:space="preserve"> 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 и ремонт фасада</t>
  </si>
  <si>
    <t>ремонт внутридомовых инженерных систем тепло-, водоснабжения, в том числе с установкой прибора учета потребления ресурса и узла управления тепловой энергии, ремонт крыши и ремонт фасада</t>
  </si>
  <si>
    <t xml:space="preserve"> города Мурманска</t>
  </si>
  <si>
    <t>к постановлению администрации</t>
  </si>
  <si>
    <t>Приложение № 1</t>
  </si>
  <si>
    <t xml:space="preserve">к постановлению администрации                    </t>
  </si>
  <si>
    <t xml:space="preserve"> города Мурманска               </t>
  </si>
  <si>
    <t xml:space="preserve">Приложение № 2               </t>
  </si>
  <si>
    <t>Приложение № 3</t>
  </si>
  <si>
    <t xml:space="preserve">Приложение № 4              </t>
  </si>
  <si>
    <t>программа 1</t>
  </si>
  <si>
    <t>отклонения</t>
  </si>
  <si>
    <t>ремонт внутридомовых инженерных систем</t>
  </si>
  <si>
    <t>комплексный ремонт (всего)</t>
  </si>
  <si>
    <t>ремонт подвальных                             помещений</t>
  </si>
  <si>
    <t>ремонт или замена                            лифтового оборудования</t>
  </si>
  <si>
    <t>Контрольная сумма по горизонтали                       (сумма 2+3+…+13 колонок)</t>
  </si>
  <si>
    <t>Адрес многоквартирного дома 
(улица, № дома)</t>
  </si>
  <si>
    <t>ВСЕГО площадь 
жилых помещений  
в МКД, которым планируется предоставление финансовой поддержки, - 92 648,4 кв. м</t>
  </si>
  <si>
    <t>ВСЕГО МКД с полным перечнем работ по капитальному ремонту - 13</t>
  </si>
  <si>
    <t>ВСЕГО МКД по МО, на капитальный ремонт которых планируется предоставление финансовой поддержки, - 25</t>
  </si>
  <si>
    <t>Контрольная сумма по вертикали (сумма 1+2+3+…+25 строк)</t>
  </si>
  <si>
    <t>в том числе без средств собственников</t>
  </si>
  <si>
    <t xml:space="preserve">Приложение № 5             </t>
  </si>
  <si>
    <t>Перечень многоквартирных домов,                                                                                                          в отношении которых планируется внесение изменений в муниципальную адресную программу «Проведение капитального ремонта многоквартирных домов, расположенных на территории муниципального образования город Мурманск, в 2009 году»</t>
  </si>
  <si>
    <t>ремонт крыши и ремонт фасада</t>
  </si>
  <si>
    <t>ремонт внутридомовых инженерных систем тепло-, электро-,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воды, электрической энергии), ремонт крыши</t>
  </si>
  <si>
    <t>Стоимость капитального ремонта, руб.</t>
  </si>
  <si>
    <r>
      <t>удельная стоимость капитального ремонта, руб./кв. метр общей площади помещений в МКД</t>
    </r>
    <r>
      <rPr>
        <vertAlign val="superscript"/>
        <sz val="12"/>
        <rFont val="Times New Roman"/>
        <family val="1"/>
      </rPr>
      <t>2</t>
    </r>
  </si>
  <si>
    <t>Всего потребность в финансировании, руб.</t>
  </si>
  <si>
    <t>Объем долевого финансирования за счет средств Фонда, руб.</t>
  </si>
  <si>
    <t>Объем долевого финансирования за счет средств регионального бюджета, руб.</t>
  </si>
  <si>
    <t>Объем долевого финансиро-вания за счет средств местного бюджета, руб.</t>
  </si>
  <si>
    <t>Объем долевого финансиро-вания за счет средств ТСЖ, ЖСК, собственников помещений в МКД, руб.</t>
  </si>
  <si>
    <t>Удельная стоимость капитального ремонта, руб./кв. метр общей площади помещений в МКД</t>
  </si>
  <si>
    <t>Стоимость капитального ремонта по факту выполненных работ</t>
  </si>
  <si>
    <t>(+ увеличение,                           - уменьшение)</t>
  </si>
  <si>
    <t>руб.</t>
  </si>
  <si>
    <t>руб./ кв.м</t>
  </si>
  <si>
    <t>в том числе средства собственников</t>
  </si>
  <si>
    <t>ремонт внутридомовых инженерных систем тепло-, электро-, водоснабжения, водоотведения, ремонт подвального помещения, относящегося к общему имуществу дома, ремонт крыши, утепление и ремонт фасада</t>
  </si>
  <si>
    <t>Заместитель главы администрации города Мурманска</t>
  </si>
  <si>
    <t xml:space="preserve">к постановлению администрации       </t>
  </si>
  <si>
    <t>Удельная стоимость капитального ремонта, руб./кв.м общей                                   площади помещений в МКД</t>
  </si>
  <si>
    <t xml:space="preserve">Предельная стоимость капитального ремонта, руб./кв.м общей                         площади помещений в МКД </t>
  </si>
  <si>
    <t>В.А. Доцник</t>
  </si>
  <si>
    <t xml:space="preserve">В.А. Доцник </t>
  </si>
  <si>
    <t xml:space="preserve">       от                      №                             </t>
  </si>
  <si>
    <t xml:space="preserve">от                      №   </t>
  </si>
  <si>
    <t xml:space="preserve">от                            №        </t>
  </si>
  <si>
    <t>ремонт внутридомовых инженерных систем тепло-, электро-, водоснабжения, в том числе с установкой приборов учета потребления ресурсов и узлов управления (тепловой энергии, горячей и холодной воды), ремонт подвального помещения, относящегося к общему имуществу дома, ремонт крыши и ремонт фасада</t>
  </si>
  <si>
    <t xml:space="preserve">Планируемые показатели выполнения муниципальной адресной программы </t>
  </si>
  <si>
    <t>расположенных на территории муниципального образования город Мурманск, в 2009 году»</t>
  </si>
  <si>
    <t>1.1. Количество многоквартирных домов</t>
  </si>
  <si>
    <t>1.2. Общая площадь жилищного фонда, всего,</t>
  </si>
  <si>
    <t>1.3. В том числе общая площадь жилых помещений, находящихся в собственности граждан</t>
  </si>
  <si>
    <t>2.1. От общего числа многоквартирных домов, включенных в  программу в 2009 году</t>
  </si>
  <si>
    <t>2.2. От общего числа многоквартирных домов, подлежащих капитальному ремонту на дату принятия программы</t>
  </si>
  <si>
    <t>4.1. От общего числа многоквартирных домов, включенных в программу</t>
  </si>
  <si>
    <t>4.2. От общего числа многоквартирных домов, включенных во все программы за период действия Фонда (накопительным итогом)</t>
  </si>
  <si>
    <t>5.1. Всего:</t>
  </si>
  <si>
    <t>В том числе:</t>
  </si>
  <si>
    <t>5.2. За счет средств Фонда</t>
  </si>
  <si>
    <t>5.3. За счет средств областного и местного бюджетов, предусмотренных на долевое финансирование программы</t>
  </si>
  <si>
    <t>5.4. За счет средств товариществ собственников жилья, иных кооперативов или собственников помещений в многоквартирных домах</t>
  </si>
  <si>
    <t>7.1. С даты принятия программы</t>
  </si>
  <si>
    <t>7.2. С даты принятия первой программы (накопительным итогом)</t>
  </si>
  <si>
    <t>8.1. На программу</t>
  </si>
  <si>
    <t>8.2. На все реализованные программы</t>
  </si>
  <si>
    <t>Стоимость капитального ремонта по  программе от 22.12.2009</t>
  </si>
  <si>
    <t>2.3. От общего числа многоквартирных домов, подлежащих капитальному ремонту на дату принятия первой программы (накопительным итогом)</t>
  </si>
  <si>
    <r>
      <t>ВСЕГО объем финансирования капитального ремонта по муниципальному образованию город Мурманск - 304 615 597,21 руб.,</t>
    </r>
    <r>
      <rPr>
        <sz val="12"/>
        <rFont val="Arial Cyr"/>
        <family val="0"/>
      </rPr>
      <t xml:space="preserve">
</t>
    </r>
    <r>
      <rPr>
        <sz val="12"/>
        <rFont val="Times New Roman"/>
        <family val="1"/>
      </rPr>
      <t>в том числе за счет средств: 
Фонда - 250 542 330,47руб.,
долевого финансирования бюджета Мурманской области - 12 576 433,91 руб.,
бюджета муниципального образования город Мурманск - 8 383 547,81 руб.,
ТСЖ, ЖСК либо собственников помещений в МКД - 33 113 285,02 руб.</t>
    </r>
  </si>
  <si>
    <r>
      <t xml:space="preserve">       </t>
    </r>
    <r>
      <rPr>
        <sz val="14"/>
        <rFont val="Times New Roman"/>
        <family val="1"/>
      </rPr>
      <t xml:space="preserve">от                           № </t>
    </r>
    <r>
      <rPr>
        <sz val="15"/>
        <rFont val="Times New Roman"/>
        <family val="1"/>
      </rPr>
      <t xml:space="preserve">             </t>
    </r>
  </si>
  <si>
    <t>ТСЖ, других кооперативов либо собс-твенников помещений в МКД</t>
  </si>
  <si>
    <t>"Ул. Радищева 15"</t>
  </si>
  <si>
    <t xml:space="preserve"> «Проведение капитального ремонта многоквартирных домов, </t>
  </si>
  <si>
    <t>Реестр многоквартирных домов, участвующих в муниципальной адресной программе «Проведение капитального ремонта многоквартирных домов,                                       расположенных на территории муниципального образования город Мурманск, в 2009 году»</t>
  </si>
  <si>
    <t>Перечень многоквартирных домов, в отношении которых планируется предоставление финансовой поддержки в рамках муниципальной адресной программы «Проведение капитального ремонта многоквартирных домов, расположенных на территории муниципального образования город Мурманск, в 2009 году»</t>
  </si>
  <si>
    <t xml:space="preserve">от 26.03.2012  № 588   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</si>
</sst>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0.000"/>
    <numFmt numFmtId="175" formatCode="0.0000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00000"/>
    <numFmt numFmtId="188" formatCode="#,##0.000000"/>
    <numFmt numFmtId="189" formatCode="#,##0.00000"/>
    <numFmt numFmtId="190" formatCode="0.000000000"/>
    <numFmt numFmtId="191" formatCode="#,##0.0_ ;\-#,##0.0\ "/>
    <numFmt numFmtId="192" formatCode="#,##0.0000000"/>
    <numFmt numFmtId="193" formatCode="#,##0_ ;\-#,##0\ "/>
    <numFmt numFmtId="194" formatCode="#,##0.00_ ;\-#,##0.00\ 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b/>
      <sz val="14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5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Arial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3" fillId="0" borderId="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176" fontId="3" fillId="0" borderId="5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74" fontId="13" fillId="0" borderId="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6" fontId="13" fillId="0" borderId="3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172" fontId="6" fillId="0" borderId="0" xfId="0" applyNumberFormat="1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2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left"/>
    </xf>
    <xf numFmtId="17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175" fontId="5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85" fontId="13" fillId="0" borderId="12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174" fontId="3" fillId="0" borderId="3" xfId="0" applyNumberFormat="1" applyFont="1" applyFill="1" applyBorder="1" applyAlignment="1">
      <alignment horizontal="center" vertical="center" wrapText="1"/>
    </xf>
    <xf numFmtId="174" fontId="3" fillId="0" borderId="5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left"/>
    </xf>
    <xf numFmtId="174" fontId="3" fillId="0" borderId="17" xfId="0" applyNumberFormat="1" applyFont="1" applyFill="1" applyBorder="1" applyAlignment="1">
      <alignment horizontal="center" vertical="center" wrapText="1"/>
    </xf>
    <xf numFmtId="174" fontId="3" fillId="0" borderId="7" xfId="0" applyNumberFormat="1" applyFont="1" applyFill="1" applyBorder="1" applyAlignment="1">
      <alignment horizontal="center" vertical="center" wrapText="1"/>
    </xf>
    <xf numFmtId="174" fontId="3" fillId="0" borderId="4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3" fillId="0" borderId="3" xfId="19" applyFont="1" applyFill="1" applyBorder="1" applyAlignment="1">
      <alignment horizontal="center" vertical="center"/>
      <protection/>
    </xf>
    <xf numFmtId="0" fontId="3" fillId="0" borderId="3" xfId="19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18" applyNumberFormat="1" applyFont="1" applyFill="1" applyBorder="1" applyAlignment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85" fontId="13" fillId="0" borderId="2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2" fontId="3" fillId="0" borderId="3" xfId="0" applyNumberFormat="1" applyFont="1" applyFill="1" applyBorder="1" applyAlignment="1">
      <alignment horizontal="center" vertical="center"/>
    </xf>
    <xf numFmtId="185" fontId="3" fillId="0" borderId="12" xfId="0" applyNumberFormat="1" applyFont="1" applyFill="1" applyBorder="1" applyAlignment="1">
      <alignment horizontal="center" vertical="center"/>
    </xf>
    <xf numFmtId="174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textRotation="90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74" fontId="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 textRotation="90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174" fontId="3" fillId="0" borderId="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18" applyNumberFormat="1" applyFont="1" applyFill="1" applyBorder="1" applyAlignment="1">
      <alignment horizontal="center" vertical="center" wrapText="1"/>
      <protection/>
    </xf>
    <xf numFmtId="18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3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/>
    </xf>
    <xf numFmtId="43" fontId="3" fillId="0" borderId="5" xfId="0" applyNumberFormat="1" applyFont="1" applyFill="1" applyBorder="1" applyAlignment="1">
      <alignment horizontal="center" vertical="center" wrapText="1"/>
    </xf>
    <xf numFmtId="43" fontId="3" fillId="0" borderId="2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176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3" fontId="25" fillId="0" borderId="3" xfId="0" applyNumberFormat="1" applyFont="1" applyFill="1" applyBorder="1" applyAlignment="1">
      <alignment horizontal="center" vertical="center" textRotation="90" wrapText="1"/>
    </xf>
    <xf numFmtId="43" fontId="25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horizontal="center" vertical="center" wrapText="1"/>
    </xf>
    <xf numFmtId="43" fontId="26" fillId="0" borderId="3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3" fontId="26" fillId="0" borderId="10" xfId="0" applyNumberFormat="1" applyFont="1" applyFill="1" applyBorder="1" applyAlignment="1">
      <alignment horizontal="center" vertical="center" wrapText="1"/>
    </xf>
    <xf numFmtId="43" fontId="25" fillId="0" borderId="2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3" fontId="3" fillId="0" borderId="3" xfId="0" applyNumberFormat="1" applyFont="1" applyFill="1" applyBorder="1" applyAlignment="1">
      <alignment horizontal="center" vertical="center" wrapText="1"/>
    </xf>
    <xf numFmtId="43" fontId="26" fillId="2" borderId="28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172" fontId="3" fillId="0" borderId="2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3" fontId="25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7" fillId="0" borderId="0" xfId="0" applyFont="1" applyAlignment="1">
      <alignment/>
    </xf>
    <xf numFmtId="0" fontId="5" fillId="0" borderId="0" xfId="20" applyFont="1" applyFill="1" applyAlignment="1" applyProtection="1">
      <alignment horizontal="right"/>
      <protection/>
    </xf>
    <xf numFmtId="0" fontId="5" fillId="0" borderId="0" xfId="20" applyFont="1" applyFill="1" applyAlignment="1" applyProtection="1">
      <alignment horizontal="left"/>
      <protection/>
    </xf>
    <xf numFmtId="0" fontId="28" fillId="0" borderId="0" xfId="20" applyFont="1" applyProtection="1">
      <alignment/>
      <protection/>
    </xf>
    <xf numFmtId="0" fontId="5" fillId="0" borderId="0" xfId="20" applyFont="1" applyFill="1" applyProtection="1">
      <alignment/>
      <protection/>
    </xf>
    <xf numFmtId="172" fontId="3" fillId="0" borderId="3" xfId="18" applyNumberFormat="1" applyFont="1" applyFill="1" applyBorder="1" applyAlignment="1">
      <alignment horizontal="center" vertical="center" wrapText="1"/>
      <protection/>
    </xf>
    <xf numFmtId="172" fontId="24" fillId="0" borderId="3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3" fontId="26" fillId="0" borderId="2" xfId="0" applyNumberFormat="1" applyFont="1" applyFill="1" applyBorder="1" applyAlignment="1">
      <alignment vertical="center" wrapText="1"/>
    </xf>
    <xf numFmtId="43" fontId="25" fillId="0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5" fillId="0" borderId="0" xfId="20" applyFont="1" applyFill="1" applyBorder="1" applyProtection="1">
      <alignment/>
      <protection/>
    </xf>
    <xf numFmtId="0" fontId="5" fillId="0" borderId="0" xfId="20" applyFont="1" applyFill="1" applyBorder="1" applyAlignment="1" applyProtection="1">
      <alignment horizontal="right"/>
      <protection/>
    </xf>
    <xf numFmtId="0" fontId="28" fillId="0" borderId="0" xfId="20" applyFont="1" applyBorder="1" applyProtection="1">
      <alignment/>
      <protection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/>
    </xf>
    <xf numFmtId="186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89" fontId="6" fillId="0" borderId="3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3" fillId="0" borderId="9" xfId="0" applyNumberFormat="1" applyFont="1" applyFill="1" applyBorder="1" applyAlignment="1">
      <alignment horizontal="center" vertical="center" wrapText="1"/>
    </xf>
    <xf numFmtId="0" fontId="28" fillId="0" borderId="0" xfId="20" applyFont="1" applyFill="1" applyProtection="1">
      <alignment/>
      <protection/>
    </xf>
    <xf numFmtId="176" fontId="4" fillId="0" borderId="0" xfId="0" applyNumberFormat="1" applyFont="1" applyFill="1" applyBorder="1" applyAlignment="1">
      <alignment horizontal="right"/>
    </xf>
    <xf numFmtId="43" fontId="3" fillId="4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/>
    </xf>
    <xf numFmtId="0" fontId="13" fillId="0" borderId="3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2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textRotation="90" wrapText="1"/>
    </xf>
    <xf numFmtId="0" fontId="12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top" wrapText="1"/>
    </xf>
    <xf numFmtId="176" fontId="5" fillId="0" borderId="0" xfId="0" applyNumberFormat="1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176" fontId="10" fillId="0" borderId="24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5" fillId="0" borderId="24" xfId="0" applyFont="1" applyFill="1" applyBorder="1" applyAlignment="1">
      <alignment horizontal="center" wrapText="1"/>
    </xf>
    <xf numFmtId="176" fontId="5" fillId="0" borderId="24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textRotation="90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176" fontId="3" fillId="0" borderId="17" xfId="0" applyNumberFormat="1" applyFont="1" applyFill="1" applyBorder="1" applyAlignment="1">
      <alignment horizontal="center" vertical="center" textRotation="90" wrapText="1"/>
    </xf>
    <xf numFmtId="176" fontId="3" fillId="0" borderId="14" xfId="18" applyNumberFormat="1" applyFont="1" applyFill="1" applyBorder="1" applyAlignment="1">
      <alignment horizontal="center" vertical="center" textRotation="90" wrapText="1"/>
      <protection/>
    </xf>
    <xf numFmtId="176" fontId="3" fillId="0" borderId="17" xfId="18" applyNumberFormat="1" applyFont="1" applyFill="1" applyBorder="1" applyAlignment="1">
      <alignment horizontal="center" vertical="center" textRotation="90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5" fillId="0" borderId="0" xfId="20" applyFont="1" applyFill="1" applyAlignment="1" applyProtection="1">
      <alignment horizontal="left" wrapText="1"/>
      <protection/>
    </xf>
    <xf numFmtId="0" fontId="0" fillId="0" borderId="0" xfId="0" applyAlignment="1">
      <alignment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Данные (2)_1" xfId="19"/>
    <cellStyle name="Обычный_свод ТС (24_01_2008)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7"/>
  <sheetViews>
    <sheetView view="pageBreakPreview" zoomScale="85" zoomScaleNormal="90" zoomScaleSheetLayoutView="85" workbookViewId="0" topLeftCell="A9">
      <selection activeCell="P17" sqref="P17"/>
    </sheetView>
  </sheetViews>
  <sheetFormatPr defaultColWidth="9.140625" defaultRowHeight="12.75"/>
  <cols>
    <col min="1" max="1" width="2.7109375" style="19" customWidth="1"/>
    <col min="2" max="2" width="5.421875" style="19" customWidth="1"/>
    <col min="3" max="3" width="15.140625" style="19" customWidth="1"/>
    <col min="4" max="4" width="6.28125" style="19" customWidth="1"/>
    <col min="5" max="5" width="7.140625" style="19" customWidth="1"/>
    <col min="6" max="6" width="7.421875" style="19" customWidth="1"/>
    <col min="7" max="7" width="10.00390625" style="19" customWidth="1"/>
    <col min="8" max="8" width="10.28125" style="19" customWidth="1"/>
    <col min="9" max="9" width="10.00390625" style="19" customWidth="1"/>
    <col min="10" max="10" width="28.140625" style="154" customWidth="1"/>
    <col min="11" max="11" width="16.140625" style="19" customWidth="1"/>
    <col min="12" max="12" width="16.57421875" style="19" customWidth="1"/>
    <col min="13" max="13" width="15.140625" style="19" customWidth="1"/>
    <col min="14" max="14" width="15.28125" style="19" customWidth="1"/>
    <col min="15" max="15" width="15.421875" style="19" customWidth="1"/>
    <col min="16" max="16" width="9.28125" style="19" customWidth="1"/>
    <col min="17" max="16384" width="9.140625" style="19" customWidth="1"/>
  </cols>
  <sheetData>
    <row r="1" spans="10:16" ht="19.5">
      <c r="J1" s="180"/>
      <c r="M1" s="325" t="s">
        <v>106</v>
      </c>
      <c r="N1" s="326"/>
      <c r="O1" s="326"/>
      <c r="P1" s="326"/>
    </row>
    <row r="2" spans="10:16" ht="19.5">
      <c r="J2" s="180"/>
      <c r="M2" s="325" t="s">
        <v>105</v>
      </c>
      <c r="N2" s="326"/>
      <c r="O2" s="326"/>
      <c r="P2" s="326"/>
    </row>
    <row r="3" spans="10:16" ht="19.5">
      <c r="J3" s="180"/>
      <c r="M3" s="325" t="s">
        <v>104</v>
      </c>
      <c r="N3" s="326"/>
      <c r="O3" s="326"/>
      <c r="P3" s="326"/>
    </row>
    <row r="4" spans="10:16" ht="19.5">
      <c r="J4" s="180"/>
      <c r="M4" s="327" t="s">
        <v>174</v>
      </c>
      <c r="N4" s="328"/>
      <c r="O4" s="328"/>
      <c r="P4" s="328"/>
    </row>
    <row r="5" spans="10:16" ht="13.5" customHeight="1">
      <c r="J5" s="180"/>
      <c r="P5" s="45"/>
    </row>
    <row r="6" spans="2:16" ht="40.5" customHeight="1">
      <c r="B6" s="315" t="s">
        <v>179</v>
      </c>
      <c r="C6" s="315"/>
      <c r="D6" s="315"/>
      <c r="E6" s="316"/>
      <c r="F6" s="316"/>
      <c r="G6" s="316"/>
      <c r="H6" s="316"/>
      <c r="I6" s="316"/>
      <c r="J6" s="316"/>
      <c r="K6" s="316"/>
      <c r="L6" s="316"/>
      <c r="M6" s="316"/>
      <c r="N6" s="317"/>
      <c r="O6" s="318"/>
      <c r="P6" s="318"/>
    </row>
    <row r="7" spans="2:16" ht="8.25" customHeight="1">
      <c r="B7" s="319"/>
      <c r="C7" s="319"/>
      <c r="D7" s="319"/>
      <c r="E7" s="320"/>
      <c r="F7" s="320"/>
      <c r="G7" s="320"/>
      <c r="H7" s="320"/>
      <c r="I7" s="320"/>
      <c r="J7" s="320"/>
      <c r="K7" s="320"/>
      <c r="L7" s="320"/>
      <c r="M7" s="320"/>
      <c r="N7" s="321"/>
      <c r="O7" s="322"/>
      <c r="P7" s="322"/>
    </row>
    <row r="8" spans="2:16" ht="19.5" customHeight="1">
      <c r="B8" s="323" t="s">
        <v>0</v>
      </c>
      <c r="C8" s="301" t="s">
        <v>10</v>
      </c>
      <c r="D8" s="307" t="s">
        <v>11</v>
      </c>
      <c r="E8" s="308"/>
      <c r="F8" s="301" t="s">
        <v>12</v>
      </c>
      <c r="G8" s="303" t="s">
        <v>13</v>
      </c>
      <c r="H8" s="303"/>
      <c r="I8" s="303"/>
      <c r="J8" s="301" t="s">
        <v>14</v>
      </c>
      <c r="K8" s="311" t="s">
        <v>129</v>
      </c>
      <c r="L8" s="293"/>
      <c r="M8" s="293"/>
      <c r="N8" s="293"/>
      <c r="O8" s="293"/>
      <c r="P8" s="301" t="s">
        <v>130</v>
      </c>
    </row>
    <row r="9" spans="2:16" ht="21" customHeight="1">
      <c r="B9" s="323"/>
      <c r="C9" s="301"/>
      <c r="D9" s="301" t="s">
        <v>15</v>
      </c>
      <c r="E9" s="301" t="s">
        <v>52</v>
      </c>
      <c r="F9" s="301"/>
      <c r="G9" s="301" t="s">
        <v>16</v>
      </c>
      <c r="H9" s="303" t="s">
        <v>17</v>
      </c>
      <c r="I9" s="303"/>
      <c r="J9" s="302"/>
      <c r="K9" s="301" t="s">
        <v>18</v>
      </c>
      <c r="L9" s="311" t="s">
        <v>19</v>
      </c>
      <c r="M9" s="311"/>
      <c r="N9" s="311"/>
      <c r="O9" s="311"/>
      <c r="P9" s="301"/>
    </row>
    <row r="10" spans="2:16" ht="11.25" customHeight="1">
      <c r="B10" s="323"/>
      <c r="C10" s="301"/>
      <c r="D10" s="301"/>
      <c r="E10" s="301"/>
      <c r="F10" s="301"/>
      <c r="G10" s="301"/>
      <c r="H10" s="314" t="s">
        <v>18</v>
      </c>
      <c r="I10" s="314" t="s">
        <v>20</v>
      </c>
      <c r="J10" s="302"/>
      <c r="K10" s="301"/>
      <c r="L10" s="303" t="s">
        <v>36</v>
      </c>
      <c r="M10" s="303"/>
      <c r="N10" s="303"/>
      <c r="O10" s="303" t="s">
        <v>175</v>
      </c>
      <c r="P10" s="301"/>
    </row>
    <row r="11" spans="2:16" ht="12" customHeight="1" hidden="1">
      <c r="B11" s="323"/>
      <c r="C11" s="301"/>
      <c r="D11" s="301"/>
      <c r="E11" s="301"/>
      <c r="F11" s="301"/>
      <c r="G11" s="301"/>
      <c r="H11" s="314"/>
      <c r="I11" s="314"/>
      <c r="J11" s="302"/>
      <c r="K11" s="301"/>
      <c r="L11" s="303"/>
      <c r="M11" s="303"/>
      <c r="N11" s="303"/>
      <c r="O11" s="303"/>
      <c r="P11" s="301"/>
    </row>
    <row r="12" spans="2:16" ht="69" customHeight="1" hidden="1">
      <c r="B12" s="323"/>
      <c r="C12" s="301"/>
      <c r="D12" s="301"/>
      <c r="E12" s="301"/>
      <c r="F12" s="301"/>
      <c r="G12" s="301"/>
      <c r="H12" s="314"/>
      <c r="I12" s="314"/>
      <c r="J12" s="302"/>
      <c r="K12" s="301"/>
      <c r="L12" s="303"/>
      <c r="M12" s="303"/>
      <c r="N12" s="303"/>
      <c r="O12" s="303"/>
      <c r="P12" s="301"/>
    </row>
    <row r="13" spans="2:16" ht="33" customHeight="1">
      <c r="B13" s="324"/>
      <c r="C13" s="301"/>
      <c r="D13" s="301"/>
      <c r="E13" s="301"/>
      <c r="F13" s="301"/>
      <c r="G13" s="301"/>
      <c r="H13" s="314"/>
      <c r="I13" s="314"/>
      <c r="J13" s="302"/>
      <c r="K13" s="301"/>
      <c r="L13" s="303"/>
      <c r="M13" s="303"/>
      <c r="N13" s="303"/>
      <c r="O13" s="303"/>
      <c r="P13" s="301"/>
    </row>
    <row r="14" spans="2:16" ht="104.25" customHeight="1">
      <c r="B14" s="324"/>
      <c r="C14" s="306"/>
      <c r="D14" s="304"/>
      <c r="E14" s="304"/>
      <c r="F14" s="306"/>
      <c r="G14" s="303"/>
      <c r="H14" s="314"/>
      <c r="I14" s="314"/>
      <c r="J14" s="302"/>
      <c r="K14" s="303"/>
      <c r="L14" s="20" t="s">
        <v>21</v>
      </c>
      <c r="M14" s="20" t="s">
        <v>22</v>
      </c>
      <c r="N14" s="20" t="s">
        <v>23</v>
      </c>
      <c r="O14" s="303"/>
      <c r="P14" s="306"/>
    </row>
    <row r="15" spans="2:16" ht="13.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  <c r="P15" s="4">
        <v>15</v>
      </c>
    </row>
    <row r="16" spans="1:16" s="11" customFormat="1" ht="205.5" customHeight="1">
      <c r="A16" s="128">
        <v>5</v>
      </c>
      <c r="B16" s="123">
        <v>1</v>
      </c>
      <c r="C16" s="6" t="s">
        <v>91</v>
      </c>
      <c r="D16" s="119" t="s">
        <v>83</v>
      </c>
      <c r="E16" s="87" t="s">
        <v>31</v>
      </c>
      <c r="F16" s="120" t="s">
        <v>32</v>
      </c>
      <c r="G16" s="120">
        <v>4011.5</v>
      </c>
      <c r="H16" s="121">
        <v>2956.5</v>
      </c>
      <c r="I16" s="120">
        <v>2772.4</v>
      </c>
      <c r="J16" s="120" t="s">
        <v>152</v>
      </c>
      <c r="K16" s="185">
        <v>20346327.02</v>
      </c>
      <c r="L16" s="185">
        <f>$G$65/$F$65*(K16-O16)</f>
        <v>17616713.06</v>
      </c>
      <c r="M16" s="185">
        <v>884303.38</v>
      </c>
      <c r="N16" s="185">
        <v>589483.44</v>
      </c>
      <c r="O16" s="185">
        <f>K16*(2956.5+1005.5)/4011.5*5/100+K16*49.5/4011.5</f>
        <v>1255827.14</v>
      </c>
      <c r="P16" s="182">
        <f>K16/G16</f>
        <v>5072</v>
      </c>
    </row>
    <row r="17" spans="1:16" s="8" customFormat="1" ht="171.75" customHeight="1">
      <c r="A17" s="273">
        <v>1</v>
      </c>
      <c r="B17" s="123">
        <v>2</v>
      </c>
      <c r="C17" s="6" t="s">
        <v>54</v>
      </c>
      <c r="D17" s="106">
        <v>1967</v>
      </c>
      <c r="E17" s="107" t="s">
        <v>31</v>
      </c>
      <c r="F17" s="87" t="s">
        <v>32</v>
      </c>
      <c r="G17" s="87">
        <v>2185.1</v>
      </c>
      <c r="H17" s="87">
        <f>I17+83.4</f>
        <v>2006.2</v>
      </c>
      <c r="I17" s="87">
        <v>1922.8</v>
      </c>
      <c r="J17" s="87" t="s">
        <v>128</v>
      </c>
      <c r="K17" s="207">
        <v>6312324.46</v>
      </c>
      <c r="L17" s="185">
        <v>5080698.33</v>
      </c>
      <c r="M17" s="185">
        <v>255035.02</v>
      </c>
      <c r="N17" s="185">
        <v>170008.3</v>
      </c>
      <c r="O17" s="207">
        <v>806582.81</v>
      </c>
      <c r="P17" s="182">
        <f aca="true" t="shared" si="0" ref="P17:P40">K17/G17</f>
        <v>2888.8</v>
      </c>
    </row>
    <row r="18" spans="1:16" s="276" customFormat="1" ht="68.25" customHeight="1">
      <c r="A18" s="106">
        <v>2</v>
      </c>
      <c r="B18" s="123">
        <v>3</v>
      </c>
      <c r="C18" s="6" t="s">
        <v>55</v>
      </c>
      <c r="D18" s="106">
        <v>1973</v>
      </c>
      <c r="E18" s="107" t="s">
        <v>31</v>
      </c>
      <c r="F18" s="87" t="s">
        <v>32</v>
      </c>
      <c r="G18" s="87">
        <v>4684.5</v>
      </c>
      <c r="H18" s="87">
        <v>4320</v>
      </c>
      <c r="I18" s="87">
        <v>4044.7</v>
      </c>
      <c r="J18" s="87" t="s">
        <v>127</v>
      </c>
      <c r="K18" s="207">
        <v>4376889.54</v>
      </c>
      <c r="L18" s="185">
        <f>$G$65/$F$65*(K18-O18)</f>
        <v>3787734.29</v>
      </c>
      <c r="M18" s="185">
        <f>(K18-O18-L18)*$H$65/($H$65+$I$65)</f>
        <v>190132.3</v>
      </c>
      <c r="N18" s="185">
        <f>(K18-O18-L18)*$I$65/($H$65+$I$65)</f>
        <v>126743.66</v>
      </c>
      <c r="O18" s="207">
        <f>K18*(4044.68+579.6)/4684.48*5/100+K18*60.2/4684.48</f>
        <v>272279.29</v>
      </c>
      <c r="P18" s="182">
        <f t="shared" si="0"/>
        <v>934.33</v>
      </c>
    </row>
    <row r="19" spans="1:16" s="8" customFormat="1" ht="201" customHeight="1">
      <c r="A19" s="129">
        <v>3</v>
      </c>
      <c r="B19" s="123">
        <v>4</v>
      </c>
      <c r="C19" s="6" t="s">
        <v>56</v>
      </c>
      <c r="D19" s="106">
        <v>1989</v>
      </c>
      <c r="E19" s="107" t="s">
        <v>31</v>
      </c>
      <c r="F19" s="87" t="s">
        <v>32</v>
      </c>
      <c r="G19" s="87">
        <v>4195</v>
      </c>
      <c r="H19" s="286">
        <v>4195</v>
      </c>
      <c r="I19" s="106">
        <v>3701.2</v>
      </c>
      <c r="J19" s="87" t="s">
        <v>102</v>
      </c>
      <c r="K19" s="185">
        <v>10012370.5</v>
      </c>
      <c r="L19" s="185">
        <v>8777444.6</v>
      </c>
      <c r="M19" s="185">
        <v>440600</v>
      </c>
      <c r="N19" s="185">
        <v>293707.37</v>
      </c>
      <c r="O19" s="185">
        <f>K19*5%</f>
        <v>500618.53</v>
      </c>
      <c r="P19" s="193">
        <f t="shared" si="0"/>
        <v>2386.74</v>
      </c>
    </row>
    <row r="20" spans="1:16" s="8" customFormat="1" ht="156.75" customHeight="1">
      <c r="A20" s="128">
        <v>4</v>
      </c>
      <c r="B20" s="123">
        <v>5</v>
      </c>
      <c r="C20" s="6" t="s">
        <v>57</v>
      </c>
      <c r="D20" s="38">
        <v>1959</v>
      </c>
      <c r="E20" s="108">
        <v>1976</v>
      </c>
      <c r="F20" s="40" t="s">
        <v>32</v>
      </c>
      <c r="G20" s="40">
        <v>1336.3</v>
      </c>
      <c r="H20" s="40">
        <v>989.1</v>
      </c>
      <c r="I20" s="40">
        <v>942</v>
      </c>
      <c r="J20" s="40" t="s">
        <v>97</v>
      </c>
      <c r="K20" s="185">
        <v>1963585</v>
      </c>
      <c r="L20" s="185">
        <v>1545734.95</v>
      </c>
      <c r="M20" s="185">
        <v>77561.11</v>
      </c>
      <c r="N20" s="185">
        <v>51740.82</v>
      </c>
      <c r="O20" s="182">
        <v>288548.12</v>
      </c>
      <c r="P20" s="182">
        <f>K20/G20</f>
        <v>1469.42</v>
      </c>
    </row>
    <row r="21" spans="1:16" s="8" customFormat="1" ht="160.5" customHeight="1">
      <c r="A21" s="128">
        <v>6</v>
      </c>
      <c r="B21" s="123">
        <v>6</v>
      </c>
      <c r="C21" s="6" t="s">
        <v>58</v>
      </c>
      <c r="D21" s="106">
        <v>1975</v>
      </c>
      <c r="E21" s="87" t="s">
        <v>31</v>
      </c>
      <c r="F21" s="87" t="s">
        <v>32</v>
      </c>
      <c r="G21" s="87">
        <v>5304.7</v>
      </c>
      <c r="H21" s="87">
        <v>5304.7</v>
      </c>
      <c r="I21" s="87">
        <v>5304.7</v>
      </c>
      <c r="J21" s="87" t="s">
        <v>46</v>
      </c>
      <c r="K21" s="185">
        <v>6324961.93</v>
      </c>
      <c r="L21" s="185">
        <f>$G$65/$F$65*(K21-O21)</f>
        <v>5253007.32</v>
      </c>
      <c r="M21" s="185">
        <f>(K21-O21-L21)*$H$65/($H$65+$I$65)</f>
        <v>263684.38</v>
      </c>
      <c r="N21" s="185">
        <f>(K21-O21-L21)*$I$65/($H$65+$I$65)</f>
        <v>175774.04</v>
      </c>
      <c r="O21" s="185">
        <f>K21*10%</f>
        <v>632496.19</v>
      </c>
      <c r="P21" s="182">
        <f t="shared" si="0"/>
        <v>1192.33</v>
      </c>
    </row>
    <row r="22" spans="1:16" s="8" customFormat="1" ht="56.25" customHeight="1">
      <c r="A22" s="128">
        <v>7</v>
      </c>
      <c r="B22" s="123">
        <v>7</v>
      </c>
      <c r="C22" s="6" t="s">
        <v>59</v>
      </c>
      <c r="D22" s="106">
        <v>1972</v>
      </c>
      <c r="E22" s="87" t="s">
        <v>31</v>
      </c>
      <c r="F22" s="87" t="s">
        <v>32</v>
      </c>
      <c r="G22" s="87">
        <v>2678.9</v>
      </c>
      <c r="H22" s="87">
        <v>2678.9</v>
      </c>
      <c r="I22" s="87">
        <v>2678.9</v>
      </c>
      <c r="J22" s="87" t="s">
        <v>88</v>
      </c>
      <c r="K22" s="185">
        <v>15415333.32</v>
      </c>
      <c r="L22" s="185">
        <v>13513968.02</v>
      </c>
      <c r="M22" s="185">
        <v>678380.98</v>
      </c>
      <c r="N22" s="185">
        <v>452187.35</v>
      </c>
      <c r="O22" s="182">
        <v>770796.97</v>
      </c>
      <c r="P22" s="182">
        <f t="shared" si="0"/>
        <v>5754.35</v>
      </c>
    </row>
    <row r="23" spans="1:16" s="11" customFormat="1" ht="242.25" customHeight="1">
      <c r="A23" s="128">
        <v>8</v>
      </c>
      <c r="B23" s="123">
        <v>8</v>
      </c>
      <c r="C23" s="6" t="s">
        <v>60</v>
      </c>
      <c r="D23" s="109">
        <v>1957</v>
      </c>
      <c r="E23" s="87" t="s">
        <v>31</v>
      </c>
      <c r="F23" s="9" t="s">
        <v>32</v>
      </c>
      <c r="G23" s="9">
        <v>5517.7</v>
      </c>
      <c r="H23" s="10">
        <v>4016</v>
      </c>
      <c r="I23" s="9">
        <v>3167.6</v>
      </c>
      <c r="J23" s="9" t="s">
        <v>98</v>
      </c>
      <c r="K23" s="185">
        <v>16499502.94</v>
      </c>
      <c r="L23" s="185">
        <v>13687941.27</v>
      </c>
      <c r="M23" s="185">
        <v>687091.43</v>
      </c>
      <c r="N23" s="185">
        <v>458020.44</v>
      </c>
      <c r="O23" s="185">
        <f>K23*10.1%</f>
        <v>1666449.8</v>
      </c>
      <c r="P23" s="182">
        <f t="shared" si="0"/>
        <v>2990.29</v>
      </c>
    </row>
    <row r="24" spans="1:16" s="11" customFormat="1" ht="269.25" customHeight="1">
      <c r="A24" s="128">
        <v>9</v>
      </c>
      <c r="B24" s="123">
        <v>9</v>
      </c>
      <c r="C24" s="6" t="s">
        <v>61</v>
      </c>
      <c r="D24" s="110">
        <v>1955</v>
      </c>
      <c r="E24" s="87" t="s">
        <v>31</v>
      </c>
      <c r="F24" s="9" t="s">
        <v>32</v>
      </c>
      <c r="G24" s="9">
        <v>4746.8</v>
      </c>
      <c r="H24" s="10">
        <v>2538.4</v>
      </c>
      <c r="I24" s="9">
        <f>H24-298.1</f>
        <v>2240.3</v>
      </c>
      <c r="J24" s="9" t="s">
        <v>98</v>
      </c>
      <c r="K24" s="185">
        <v>10213523.15</v>
      </c>
      <c r="L24" s="185">
        <v>8473110.1</v>
      </c>
      <c r="M24" s="185">
        <v>425323.37</v>
      </c>
      <c r="N24" s="185">
        <v>283523.84</v>
      </c>
      <c r="O24" s="185">
        <f>K24*10.1%</f>
        <v>1031565.84</v>
      </c>
      <c r="P24" s="182">
        <f t="shared" si="0"/>
        <v>2151.66</v>
      </c>
    </row>
    <row r="25" spans="1:16" s="11" customFormat="1" ht="139.5" customHeight="1">
      <c r="A25" s="128">
        <v>20</v>
      </c>
      <c r="B25" s="123">
        <v>10</v>
      </c>
      <c r="C25" s="6" t="s">
        <v>81</v>
      </c>
      <c r="D25" s="86">
        <v>1953</v>
      </c>
      <c r="E25" s="87" t="s">
        <v>31</v>
      </c>
      <c r="F25" s="9" t="s">
        <v>32</v>
      </c>
      <c r="G25" s="9">
        <v>617.7</v>
      </c>
      <c r="H25" s="10">
        <v>617.7</v>
      </c>
      <c r="I25" s="9">
        <v>441.9</v>
      </c>
      <c r="J25" s="9" t="s">
        <v>142</v>
      </c>
      <c r="K25" s="185">
        <v>3072615.67</v>
      </c>
      <c r="L25" s="185">
        <v>2549033.31</v>
      </c>
      <c r="M25" s="185">
        <v>127953.43</v>
      </c>
      <c r="N25" s="185">
        <v>85294.74</v>
      </c>
      <c r="O25" s="185">
        <v>310334.19</v>
      </c>
      <c r="P25" s="182">
        <f t="shared" si="0"/>
        <v>4974.28</v>
      </c>
    </row>
    <row r="26" spans="1:16" s="11" customFormat="1" ht="321" customHeight="1">
      <c r="A26" s="128">
        <v>10</v>
      </c>
      <c r="B26" s="123">
        <v>11</v>
      </c>
      <c r="C26" s="6" t="s">
        <v>62</v>
      </c>
      <c r="D26" s="86">
        <v>1971</v>
      </c>
      <c r="E26" s="87" t="s">
        <v>31</v>
      </c>
      <c r="F26" s="9" t="s">
        <v>32</v>
      </c>
      <c r="G26" s="9">
        <v>3894.6</v>
      </c>
      <c r="H26" s="10">
        <v>3894.6</v>
      </c>
      <c r="I26" s="9">
        <f>H26-863.9</f>
        <v>3030.7</v>
      </c>
      <c r="J26" s="9" t="s">
        <v>99</v>
      </c>
      <c r="K26" s="185">
        <v>14871250.49</v>
      </c>
      <c r="L26" s="185">
        <v>12337147.6</v>
      </c>
      <c r="M26" s="185">
        <v>619285.85</v>
      </c>
      <c r="N26" s="185">
        <v>412820.73</v>
      </c>
      <c r="O26" s="185">
        <v>1501996.31</v>
      </c>
      <c r="P26" s="182">
        <f t="shared" si="0"/>
        <v>3818.43</v>
      </c>
    </row>
    <row r="27" spans="1:16" s="11" customFormat="1" ht="339" customHeight="1">
      <c r="A27" s="128">
        <v>11</v>
      </c>
      <c r="B27" s="123">
        <v>12</v>
      </c>
      <c r="C27" s="6" t="s">
        <v>63</v>
      </c>
      <c r="D27" s="86">
        <v>1970</v>
      </c>
      <c r="E27" s="87" t="s">
        <v>31</v>
      </c>
      <c r="F27" s="9" t="s">
        <v>32</v>
      </c>
      <c r="G27" s="9">
        <v>3831</v>
      </c>
      <c r="H27" s="10">
        <v>3831</v>
      </c>
      <c r="I27" s="9">
        <f>H27-537.1</f>
        <v>3293.9</v>
      </c>
      <c r="J27" s="9" t="s">
        <v>99</v>
      </c>
      <c r="K27" s="185">
        <v>14974391.16</v>
      </c>
      <c r="L27" s="185">
        <v>12423079.66</v>
      </c>
      <c r="M27" s="185">
        <v>623599.42</v>
      </c>
      <c r="N27" s="185">
        <v>415696.06</v>
      </c>
      <c r="O27" s="185">
        <v>1512016.02</v>
      </c>
      <c r="P27" s="182">
        <f t="shared" si="0"/>
        <v>3908.74</v>
      </c>
    </row>
    <row r="28" spans="1:16" s="11" customFormat="1" ht="325.5" customHeight="1">
      <c r="A28" s="128">
        <v>13</v>
      </c>
      <c r="B28" s="123">
        <v>13</v>
      </c>
      <c r="C28" s="6" t="s">
        <v>68</v>
      </c>
      <c r="D28" s="86">
        <v>1969</v>
      </c>
      <c r="E28" s="87" t="s">
        <v>31</v>
      </c>
      <c r="F28" s="9" t="s">
        <v>32</v>
      </c>
      <c r="G28" s="9">
        <v>3889.4</v>
      </c>
      <c r="H28" s="10">
        <v>3889.4</v>
      </c>
      <c r="I28" s="9">
        <v>2901.8</v>
      </c>
      <c r="J28" s="9" t="s">
        <v>99</v>
      </c>
      <c r="K28" s="185">
        <v>13207061.31</v>
      </c>
      <c r="L28" s="185">
        <v>10956849.59</v>
      </c>
      <c r="M28" s="185">
        <v>549999.3</v>
      </c>
      <c r="N28" s="185">
        <v>366633.69</v>
      </c>
      <c r="O28" s="185">
        <v>1333578.73</v>
      </c>
      <c r="P28" s="182">
        <f t="shared" si="0"/>
        <v>3395.66</v>
      </c>
    </row>
    <row r="29" spans="1:16" s="11" customFormat="1" ht="317.25" customHeight="1">
      <c r="A29" s="128">
        <v>14</v>
      </c>
      <c r="B29" s="123">
        <v>14</v>
      </c>
      <c r="C29" s="6" t="s">
        <v>69</v>
      </c>
      <c r="D29" s="86">
        <v>1969</v>
      </c>
      <c r="E29" s="87" t="s">
        <v>31</v>
      </c>
      <c r="F29" s="9" t="s">
        <v>32</v>
      </c>
      <c r="G29" s="9">
        <v>3919.7</v>
      </c>
      <c r="H29" s="10">
        <v>3919.7</v>
      </c>
      <c r="I29" s="9">
        <v>3069.2</v>
      </c>
      <c r="J29" s="9" t="s">
        <v>99</v>
      </c>
      <c r="K29" s="185">
        <v>13094871.79</v>
      </c>
      <c r="L29" s="185">
        <v>10863840.55</v>
      </c>
      <c r="M29" s="185">
        <v>545330.55</v>
      </c>
      <c r="N29" s="185">
        <v>363521.43</v>
      </c>
      <c r="O29" s="185">
        <v>1322179.26</v>
      </c>
      <c r="P29" s="182">
        <f t="shared" si="0"/>
        <v>3340.78</v>
      </c>
    </row>
    <row r="30" spans="1:16" s="11" customFormat="1" ht="330" customHeight="1">
      <c r="A30" s="128">
        <v>15</v>
      </c>
      <c r="B30" s="123">
        <v>15</v>
      </c>
      <c r="C30" s="6" t="s">
        <v>71</v>
      </c>
      <c r="D30" s="86">
        <v>1970</v>
      </c>
      <c r="E30" s="87" t="s">
        <v>31</v>
      </c>
      <c r="F30" s="9" t="s">
        <v>32</v>
      </c>
      <c r="G30" s="9">
        <v>3949.6</v>
      </c>
      <c r="H30" s="10">
        <v>3833.4</v>
      </c>
      <c r="I30" s="9">
        <v>3206.6</v>
      </c>
      <c r="J30" s="9" t="s">
        <v>99</v>
      </c>
      <c r="K30" s="185">
        <v>14150004.79</v>
      </c>
      <c r="L30" s="185">
        <f>$G$65/$F$65*(K30-O30)</f>
        <v>11738804.21</v>
      </c>
      <c r="M30" s="185">
        <f>(K30-O30-L30)*$H$65/($H$65+$I$65)</f>
        <v>589250.9</v>
      </c>
      <c r="N30" s="185">
        <f>(K30-O30-L30)*$I$65/($H$65+$I$65)</f>
        <v>392799.2</v>
      </c>
      <c r="O30" s="185">
        <f>K30*10.1%</f>
        <v>1429150.48</v>
      </c>
      <c r="P30" s="182">
        <f t="shared" si="0"/>
        <v>3582.64</v>
      </c>
    </row>
    <row r="31" spans="1:16" s="11" customFormat="1" ht="342.75" customHeight="1">
      <c r="A31" s="128">
        <v>16</v>
      </c>
      <c r="B31" s="123">
        <v>16</v>
      </c>
      <c r="C31" s="6" t="s">
        <v>70</v>
      </c>
      <c r="D31" s="86">
        <v>1971</v>
      </c>
      <c r="E31" s="87" t="s">
        <v>31</v>
      </c>
      <c r="F31" s="9" t="s">
        <v>32</v>
      </c>
      <c r="G31" s="9">
        <v>7545.9</v>
      </c>
      <c r="H31" s="10">
        <v>7545.9</v>
      </c>
      <c r="I31" s="9">
        <v>6697</v>
      </c>
      <c r="J31" s="9" t="s">
        <v>99</v>
      </c>
      <c r="K31" s="185">
        <v>28165151.31</v>
      </c>
      <c r="L31" s="185">
        <v>23025097.73</v>
      </c>
      <c r="M31" s="185">
        <v>1155794.32</v>
      </c>
      <c r="N31" s="185">
        <v>770450.77</v>
      </c>
      <c r="O31" s="185">
        <v>3213808.49</v>
      </c>
      <c r="P31" s="182">
        <f t="shared" si="0"/>
        <v>3732.51</v>
      </c>
    </row>
    <row r="32" spans="1:16" s="11" customFormat="1" ht="312.75" customHeight="1">
      <c r="A32" s="128">
        <v>18</v>
      </c>
      <c r="B32" s="123">
        <v>17</v>
      </c>
      <c r="C32" s="6" t="s">
        <v>79</v>
      </c>
      <c r="D32" s="86">
        <v>1970</v>
      </c>
      <c r="E32" s="87" t="s">
        <v>31</v>
      </c>
      <c r="F32" s="9" t="s">
        <v>32</v>
      </c>
      <c r="G32" s="9">
        <v>3837.8</v>
      </c>
      <c r="H32" s="10">
        <v>3837.8</v>
      </c>
      <c r="I32" s="9">
        <v>3195.3</v>
      </c>
      <c r="J32" s="9" t="s">
        <v>99</v>
      </c>
      <c r="K32" s="185">
        <v>14773138.45</v>
      </c>
      <c r="L32" s="185">
        <v>12256123.32</v>
      </c>
      <c r="M32" s="185">
        <v>615218.75</v>
      </c>
      <c r="N32" s="185">
        <v>410109.45</v>
      </c>
      <c r="O32" s="185">
        <v>1491686.93</v>
      </c>
      <c r="P32" s="182">
        <f t="shared" si="0"/>
        <v>3849.38</v>
      </c>
    </row>
    <row r="33" spans="1:16" s="11" customFormat="1" ht="323.25" customHeight="1">
      <c r="A33" s="128">
        <v>19</v>
      </c>
      <c r="B33" s="123">
        <v>18</v>
      </c>
      <c r="C33" s="6" t="s">
        <v>80</v>
      </c>
      <c r="D33" s="86">
        <v>1971</v>
      </c>
      <c r="E33" s="87" t="s">
        <v>31</v>
      </c>
      <c r="F33" s="9" t="s">
        <v>32</v>
      </c>
      <c r="G33" s="9">
        <v>3829.9</v>
      </c>
      <c r="H33" s="10">
        <v>3829.9</v>
      </c>
      <c r="I33" s="9">
        <v>3432.1</v>
      </c>
      <c r="J33" s="9" t="s">
        <v>99</v>
      </c>
      <c r="K33" s="185">
        <v>14632100.93</v>
      </c>
      <c r="L33" s="185">
        <v>12139108.2</v>
      </c>
      <c r="M33" s="185">
        <v>609344.96</v>
      </c>
      <c r="N33" s="185">
        <v>406193.93</v>
      </c>
      <c r="O33" s="185">
        <v>1477453.84</v>
      </c>
      <c r="P33" s="182">
        <f t="shared" si="0"/>
        <v>3820.49</v>
      </c>
    </row>
    <row r="34" spans="1:16" s="11" customFormat="1" ht="234.75" customHeight="1">
      <c r="A34" s="128">
        <v>21</v>
      </c>
      <c r="B34" s="123">
        <v>19</v>
      </c>
      <c r="C34" s="6" t="s">
        <v>90</v>
      </c>
      <c r="D34" s="86">
        <v>1971</v>
      </c>
      <c r="E34" s="87" t="s">
        <v>31</v>
      </c>
      <c r="F34" s="9" t="s">
        <v>32</v>
      </c>
      <c r="G34" s="9">
        <v>3836.5</v>
      </c>
      <c r="H34" s="10">
        <v>3836.5</v>
      </c>
      <c r="I34" s="9">
        <v>3463.1</v>
      </c>
      <c r="J34" s="9" t="s">
        <v>98</v>
      </c>
      <c r="K34" s="185">
        <v>7732241.42</v>
      </c>
      <c r="L34" s="185">
        <v>6415049.78</v>
      </c>
      <c r="M34" s="185">
        <v>322015.31</v>
      </c>
      <c r="N34" s="185">
        <v>214657.75</v>
      </c>
      <c r="O34" s="185">
        <v>780518.58</v>
      </c>
      <c r="P34" s="182">
        <f t="shared" si="0"/>
        <v>2015.44</v>
      </c>
    </row>
    <row r="35" spans="1:16" s="11" customFormat="1" ht="249.75" customHeight="1">
      <c r="A35" s="273">
        <v>17</v>
      </c>
      <c r="B35" s="123">
        <v>20</v>
      </c>
      <c r="C35" s="6" t="s">
        <v>72</v>
      </c>
      <c r="D35" s="86">
        <v>1958</v>
      </c>
      <c r="E35" s="87" t="s">
        <v>31</v>
      </c>
      <c r="F35" s="9" t="s">
        <v>32</v>
      </c>
      <c r="G35" s="9">
        <v>4162.1</v>
      </c>
      <c r="H35" s="10">
        <v>3643.4</v>
      </c>
      <c r="I35" s="9">
        <v>3259.2</v>
      </c>
      <c r="J35" s="9" t="s">
        <v>98</v>
      </c>
      <c r="K35" s="185">
        <v>12069082.56</v>
      </c>
      <c r="L35" s="185">
        <f aca="true" t="shared" si="1" ref="L35:L40">$G$65/$F$65*(K35-O35)</f>
        <v>10012476.97</v>
      </c>
      <c r="M35" s="185">
        <f aca="true" t="shared" si="2" ref="M35:M40">(K35-O35-L35)*$H$65/($H$65+$I$65)</f>
        <v>502594.73</v>
      </c>
      <c r="N35" s="185">
        <f aca="true" t="shared" si="3" ref="N35:N40">(K35-O35-L35)*$I$65/($H$65+$I$65)</f>
        <v>335033.52</v>
      </c>
      <c r="O35" s="185">
        <f>K35*10.1%</f>
        <v>1218977.34</v>
      </c>
      <c r="P35" s="274">
        <f t="shared" si="0"/>
        <v>2899.76</v>
      </c>
    </row>
    <row r="36" spans="1:16" s="277" customFormat="1" ht="141.75" customHeight="1">
      <c r="A36" s="106">
        <v>26</v>
      </c>
      <c r="B36" s="123">
        <v>21</v>
      </c>
      <c r="C36" s="6" t="s">
        <v>77</v>
      </c>
      <c r="D36" s="86">
        <v>1957</v>
      </c>
      <c r="E36" s="87" t="s">
        <v>31</v>
      </c>
      <c r="F36" s="9" t="s">
        <v>32</v>
      </c>
      <c r="G36" s="9">
        <v>689.9</v>
      </c>
      <c r="H36" s="10">
        <v>414.6</v>
      </c>
      <c r="I36" s="9">
        <v>367.4</v>
      </c>
      <c r="J36" s="9" t="s">
        <v>103</v>
      </c>
      <c r="K36" s="207">
        <v>5144628.11</v>
      </c>
      <c r="L36" s="185">
        <f t="shared" si="1"/>
        <v>4510089.62</v>
      </c>
      <c r="M36" s="185">
        <f t="shared" si="2"/>
        <v>226392.26</v>
      </c>
      <c r="N36" s="185">
        <f t="shared" si="3"/>
        <v>150914.82</v>
      </c>
      <c r="O36" s="207">
        <f>K36*5%</f>
        <v>257231.41</v>
      </c>
      <c r="P36" s="182">
        <f t="shared" si="0"/>
        <v>7457.06</v>
      </c>
    </row>
    <row r="37" spans="1:33" s="280" customFormat="1" ht="117" customHeight="1">
      <c r="A37" s="275">
        <v>25</v>
      </c>
      <c r="B37" s="123">
        <v>22</v>
      </c>
      <c r="C37" s="6" t="s">
        <v>74</v>
      </c>
      <c r="D37" s="86">
        <v>1959</v>
      </c>
      <c r="E37" s="87" t="s">
        <v>31</v>
      </c>
      <c r="F37" s="9" t="s">
        <v>32</v>
      </c>
      <c r="G37" s="9">
        <v>6500.3</v>
      </c>
      <c r="H37" s="10">
        <v>4917.9</v>
      </c>
      <c r="I37" s="9">
        <v>4273.8</v>
      </c>
      <c r="J37" s="9" t="s">
        <v>96</v>
      </c>
      <c r="K37" s="207">
        <v>16644929.79</v>
      </c>
      <c r="L37" s="185">
        <f t="shared" si="1"/>
        <v>14468479.37</v>
      </c>
      <c r="M37" s="185">
        <f t="shared" si="2"/>
        <v>726271.98</v>
      </c>
      <c r="N37" s="185">
        <f t="shared" si="3"/>
        <v>484138.5</v>
      </c>
      <c r="O37" s="207">
        <f>K37*(6500.3-55)/6500.3*5%+K37*55/6500.3</f>
        <v>966039.94</v>
      </c>
      <c r="P37" s="193">
        <f t="shared" si="0"/>
        <v>2560.64</v>
      </c>
      <c r="Q37" s="262"/>
      <c r="R37" s="262"/>
      <c r="S37" s="262"/>
      <c r="T37" s="262"/>
      <c r="U37" s="262"/>
      <c r="V37" s="262"/>
      <c r="W37" s="262"/>
      <c r="X37" s="262"/>
      <c r="Y37" s="262"/>
      <c r="Z37" s="262"/>
      <c r="AA37" s="262"/>
      <c r="AB37" s="262"/>
      <c r="AC37" s="262"/>
      <c r="AD37" s="262"/>
      <c r="AE37" s="262"/>
      <c r="AF37" s="262"/>
      <c r="AG37" s="262"/>
    </row>
    <row r="38" spans="1:16" s="11" customFormat="1" ht="122.25" customHeight="1">
      <c r="A38" s="129">
        <v>23</v>
      </c>
      <c r="B38" s="123">
        <v>23</v>
      </c>
      <c r="C38" s="6" t="s">
        <v>73</v>
      </c>
      <c r="D38" s="86">
        <v>1960</v>
      </c>
      <c r="E38" s="40" t="s">
        <v>31</v>
      </c>
      <c r="F38" s="9" t="s">
        <v>32</v>
      </c>
      <c r="G38" s="9">
        <v>6631.7</v>
      </c>
      <c r="H38" s="10">
        <v>5087</v>
      </c>
      <c r="I38" s="9">
        <v>4548.5</v>
      </c>
      <c r="J38" s="9" t="s">
        <v>96</v>
      </c>
      <c r="K38" s="185">
        <v>14573785.81</v>
      </c>
      <c r="L38" s="185">
        <f t="shared" si="1"/>
        <v>10632783.21</v>
      </c>
      <c r="M38" s="185">
        <f t="shared" si="2"/>
        <v>533732.15</v>
      </c>
      <c r="N38" s="185">
        <f t="shared" si="3"/>
        <v>355789.96</v>
      </c>
      <c r="O38" s="185">
        <f>K38*(6631.7-130.8-859-85.8-37)/6631.7*5%+K38*(130.8+859+85.8+37)/6631.7</f>
        <v>3051480.49</v>
      </c>
      <c r="P38" s="193">
        <f t="shared" si="0"/>
        <v>2197.59</v>
      </c>
    </row>
    <row r="39" spans="1:16" s="11" customFormat="1" ht="118.5" customHeight="1">
      <c r="A39" s="129">
        <v>24</v>
      </c>
      <c r="B39" s="123">
        <v>24</v>
      </c>
      <c r="C39" s="6" t="s">
        <v>75</v>
      </c>
      <c r="D39" s="86">
        <v>1960</v>
      </c>
      <c r="E39" s="119">
        <v>1981</v>
      </c>
      <c r="F39" s="9" t="s">
        <v>32</v>
      </c>
      <c r="G39" s="9">
        <v>7615.2</v>
      </c>
      <c r="H39" s="10">
        <v>5564.2</v>
      </c>
      <c r="I39" s="9">
        <v>5249.6</v>
      </c>
      <c r="J39" s="9" t="s">
        <v>96</v>
      </c>
      <c r="K39" s="185">
        <v>19457206.48</v>
      </c>
      <c r="L39" s="185">
        <f t="shared" si="1"/>
        <v>12702299.5</v>
      </c>
      <c r="M39" s="185">
        <f t="shared" si="2"/>
        <v>637615.33</v>
      </c>
      <c r="N39" s="185">
        <f t="shared" si="3"/>
        <v>425039.29</v>
      </c>
      <c r="O39" s="185">
        <f>K39*(7615.2-35.6-487.7-432.8-422.2-566)/7615.2*5/100+K39*(35.6+487.7+432.8+422.2+566)/7615.2</f>
        <v>5692252.36</v>
      </c>
      <c r="P39" s="182">
        <f t="shared" si="0"/>
        <v>2555.05</v>
      </c>
    </row>
    <row r="40" spans="1:16" s="11" customFormat="1" ht="116.25" customHeight="1">
      <c r="A40" s="128">
        <v>22</v>
      </c>
      <c r="B40" s="123">
        <v>25</v>
      </c>
      <c r="C40" s="6" t="s">
        <v>87</v>
      </c>
      <c r="D40" s="86">
        <v>1984</v>
      </c>
      <c r="E40" s="87" t="s">
        <v>31</v>
      </c>
      <c r="F40" s="9" t="s">
        <v>86</v>
      </c>
      <c r="G40" s="9">
        <v>5406.6</v>
      </c>
      <c r="H40" s="10">
        <v>4980.6</v>
      </c>
      <c r="I40" s="9">
        <v>4080.6</v>
      </c>
      <c r="J40" s="9" t="s">
        <v>96</v>
      </c>
      <c r="K40" s="207">
        <v>6588319.28</v>
      </c>
      <c r="L40" s="185">
        <f t="shared" si="1"/>
        <v>5775715.91</v>
      </c>
      <c r="M40" s="185">
        <f t="shared" si="2"/>
        <v>289922.7</v>
      </c>
      <c r="N40" s="185">
        <f t="shared" si="3"/>
        <v>193264.71</v>
      </c>
      <c r="O40" s="207">
        <f>K40*5%</f>
        <v>329415.96</v>
      </c>
      <c r="P40" s="193">
        <f t="shared" si="0"/>
        <v>1218.57</v>
      </c>
    </row>
    <row r="41" spans="2:16" s="50" customFormat="1" ht="21" customHeight="1">
      <c r="B41" s="56"/>
      <c r="C41" s="78" t="s">
        <v>66</v>
      </c>
      <c r="D41" s="78"/>
      <c r="E41" s="79"/>
      <c r="F41" s="49"/>
      <c r="G41" s="49">
        <f>SUM(G16:G40)</f>
        <v>104818.4</v>
      </c>
      <c r="H41" s="49">
        <f>SUM(H16:H40)</f>
        <v>92648.4</v>
      </c>
      <c r="I41" s="49">
        <f>SUM(I16:I40)</f>
        <v>81285.3</v>
      </c>
      <c r="J41" s="49"/>
      <c r="K41" s="183">
        <f>SUM(K16:K40)</f>
        <v>304615597.21</v>
      </c>
      <c r="L41" s="183">
        <f>SUM(L16:L40)</f>
        <v>250542330.47</v>
      </c>
      <c r="M41" s="183">
        <f>SUM(M16:M40)</f>
        <v>12576433.91</v>
      </c>
      <c r="N41" s="183">
        <f>SUM(N16:N40)</f>
        <v>8383547.81</v>
      </c>
      <c r="O41" s="183">
        <f>SUM(O16:O40)</f>
        <v>33113285.02</v>
      </c>
      <c r="P41" s="183">
        <f>K41/G41</f>
        <v>2906.13</v>
      </c>
    </row>
    <row r="42" spans="2:16" s="178" customFormat="1" ht="115.5" customHeight="1">
      <c r="B42" s="312" t="s">
        <v>122</v>
      </c>
      <c r="C42" s="313"/>
      <c r="D42" s="313"/>
      <c r="E42" s="313"/>
      <c r="F42" s="313"/>
      <c r="G42" s="309" t="s">
        <v>120</v>
      </c>
      <c r="H42" s="309"/>
      <c r="I42" s="309"/>
      <c r="J42" s="5" t="s">
        <v>121</v>
      </c>
      <c r="K42" s="309" t="s">
        <v>173</v>
      </c>
      <c r="L42" s="310"/>
      <c r="M42" s="310"/>
      <c r="N42" s="310"/>
      <c r="O42" s="310"/>
      <c r="P42" s="310"/>
    </row>
    <row r="43" spans="2:16" s="178" customFormat="1" ht="39" customHeight="1">
      <c r="B43" s="47"/>
      <c r="C43" s="37"/>
      <c r="D43" s="37"/>
      <c r="E43" s="248"/>
      <c r="F43" s="248"/>
      <c r="G43" s="24"/>
      <c r="H43" s="22"/>
      <c r="I43" s="12"/>
      <c r="J43" s="12"/>
      <c r="K43" s="12"/>
      <c r="L43" s="24"/>
      <c r="M43" s="24"/>
      <c r="N43" s="24"/>
      <c r="O43" s="24"/>
      <c r="P43" s="249"/>
    </row>
    <row r="44" spans="2:16" s="178" customFormat="1" ht="39" customHeight="1">
      <c r="B44" s="237" t="s">
        <v>143</v>
      </c>
      <c r="C44" s="234"/>
      <c r="D44" s="238"/>
      <c r="E44" s="235"/>
      <c r="F44" s="238"/>
      <c r="G44" s="235"/>
      <c r="H44" s="235"/>
      <c r="I44" s="250"/>
      <c r="J44" s="250"/>
      <c r="K44" s="252"/>
      <c r="L44" s="239"/>
      <c r="M44" s="239"/>
      <c r="N44" s="239"/>
      <c r="O44" s="239"/>
      <c r="P44" s="251" t="s">
        <v>147</v>
      </c>
    </row>
    <row r="45" spans="3:16" ht="30" customHeight="1">
      <c r="C45" s="37"/>
      <c r="D45" s="37"/>
      <c r="E45" s="23"/>
      <c r="F45" s="23"/>
      <c r="G45" s="24"/>
      <c r="H45" s="22"/>
      <c r="I45" s="12"/>
      <c r="J45" s="12"/>
      <c r="K45" s="12"/>
      <c r="L45" s="24"/>
      <c r="M45" s="24"/>
      <c r="N45" s="24"/>
      <c r="O45" s="24"/>
      <c r="P45" s="25"/>
    </row>
    <row r="46" spans="2:16" s="21" customFormat="1" ht="19.5" customHeight="1"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2:16" s="21" customFormat="1" ht="13.5" customHeight="1"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</row>
    <row r="48" spans="2:16" s="21" customFormat="1" ht="326.25" customHeight="1">
      <c r="B48" s="37"/>
      <c r="C48" s="155"/>
      <c r="D48" s="156"/>
      <c r="E48" s="140"/>
      <c r="F48" s="157"/>
      <c r="G48" s="157"/>
      <c r="H48" s="158"/>
      <c r="I48" s="157"/>
      <c r="J48" s="157"/>
      <c r="K48" s="261"/>
      <c r="L48" s="140"/>
      <c r="M48" s="140"/>
      <c r="N48" s="140"/>
      <c r="O48" s="140"/>
      <c r="P48" s="159"/>
    </row>
    <row r="49" spans="2:16" s="262" customFormat="1" ht="131.25" customHeight="1">
      <c r="B49" s="37"/>
      <c r="C49" s="155"/>
      <c r="D49" s="156"/>
      <c r="E49" s="140"/>
      <c r="F49" s="157"/>
      <c r="G49" s="157"/>
      <c r="H49" s="158"/>
      <c r="I49" s="157"/>
      <c r="J49" s="157"/>
      <c r="K49" s="140"/>
      <c r="L49" s="140"/>
      <c r="M49" s="140"/>
      <c r="N49" s="140"/>
      <c r="O49" s="140"/>
      <c r="P49" s="159"/>
    </row>
    <row r="50" spans="2:16" s="266" customFormat="1" ht="21" customHeight="1">
      <c r="B50" s="163"/>
      <c r="C50" s="263"/>
      <c r="D50" s="263"/>
      <c r="E50" s="232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5"/>
    </row>
    <row r="51" spans="2:16" s="267" customFormat="1" ht="139.5" customHeight="1">
      <c r="B51" s="299"/>
      <c r="C51" s="299"/>
      <c r="D51" s="299"/>
      <c r="E51" s="299"/>
      <c r="F51" s="299"/>
      <c r="G51" s="300"/>
      <c r="H51" s="300"/>
      <c r="I51" s="300"/>
      <c r="J51" s="24"/>
      <c r="K51" s="300"/>
      <c r="L51" s="300"/>
      <c r="M51" s="300"/>
      <c r="N51" s="300"/>
      <c r="O51" s="300"/>
      <c r="P51" s="300"/>
    </row>
    <row r="52" spans="3:16" s="21" customFormat="1" ht="30" customHeight="1">
      <c r="C52" s="37"/>
      <c r="D52" s="37"/>
      <c r="E52" s="23"/>
      <c r="F52" s="23"/>
      <c r="G52" s="24"/>
      <c r="H52" s="22"/>
      <c r="I52" s="12"/>
      <c r="J52" s="12"/>
      <c r="K52" s="12"/>
      <c r="L52" s="24"/>
      <c r="M52" s="24"/>
      <c r="N52" s="24"/>
      <c r="O52" s="24"/>
      <c r="P52" s="25"/>
    </row>
    <row r="53" spans="2:16" s="262" customFormat="1" ht="13.5" customHeight="1">
      <c r="B53" s="37"/>
      <c r="C53" s="155"/>
      <c r="D53" s="156"/>
      <c r="E53" s="140"/>
      <c r="F53" s="157"/>
      <c r="G53" s="157"/>
      <c r="H53" s="158"/>
      <c r="I53" s="157"/>
      <c r="J53" s="157"/>
      <c r="K53" s="140"/>
      <c r="L53" s="140"/>
      <c r="M53" s="140"/>
      <c r="N53" s="140"/>
      <c r="O53" s="140"/>
      <c r="P53" s="159"/>
    </row>
    <row r="54" s="21" customFormat="1" ht="12.75">
      <c r="J54" s="181"/>
    </row>
    <row r="56" spans="2:8" s="11" customFormat="1" ht="140.25" customHeight="1">
      <c r="B56" s="37"/>
      <c r="C56" s="155"/>
      <c r="D56" s="156"/>
      <c r="E56" s="140"/>
      <c r="F56" s="157"/>
      <c r="G56" s="157"/>
      <c r="H56" s="158"/>
    </row>
    <row r="57" spans="3:8" ht="24.75" customHeight="1">
      <c r="C57" s="37"/>
      <c r="D57" s="37"/>
      <c r="E57" s="23"/>
      <c r="F57" s="23"/>
      <c r="G57" s="24"/>
      <c r="H57" s="22"/>
    </row>
    <row r="58" spans="3:8" ht="24.75" customHeight="1">
      <c r="C58" s="37"/>
      <c r="D58" s="37"/>
      <c r="E58" s="23"/>
      <c r="F58" s="23"/>
      <c r="G58" s="24"/>
      <c r="H58" s="22"/>
    </row>
    <row r="59" spans="3:8" ht="24.75" customHeight="1">
      <c r="C59" s="37"/>
      <c r="D59" s="37"/>
      <c r="E59" s="23"/>
      <c r="F59" s="23"/>
      <c r="G59" s="24"/>
      <c r="H59" s="22"/>
    </row>
    <row r="60" spans="3:8" ht="24.75" customHeight="1">
      <c r="C60" s="37"/>
      <c r="D60" s="37"/>
      <c r="E60" s="23"/>
      <c r="F60" s="23"/>
      <c r="G60" s="24"/>
      <c r="H60" s="22"/>
    </row>
    <row r="61" spans="2:8" ht="19.5" customHeight="1">
      <c r="B61" s="22"/>
      <c r="C61" s="23"/>
      <c r="D61" s="23"/>
      <c r="E61" s="23"/>
      <c r="F61" s="23"/>
      <c r="G61" s="24"/>
      <c r="H61" s="24"/>
    </row>
    <row r="62" s="21" customFormat="1" ht="18.75" customHeight="1"/>
    <row r="65" spans="4:11" ht="15.75">
      <c r="D65" s="157"/>
      <c r="E65" s="157"/>
      <c r="F65" s="29">
        <f>G65+H65+I65</f>
        <v>329541.4</v>
      </c>
      <c r="G65" s="89">
        <v>304100.8</v>
      </c>
      <c r="H65" s="89">
        <v>15264.9</v>
      </c>
      <c r="I65" s="89">
        <v>10175.7</v>
      </c>
      <c r="J65" s="1" t="s">
        <v>92</v>
      </c>
      <c r="K65" s="159"/>
    </row>
    <row r="66" spans="4:11" ht="15.75">
      <c r="D66" s="24"/>
      <c r="E66" s="24"/>
      <c r="F66" s="12"/>
      <c r="G66" s="29"/>
      <c r="H66" s="12"/>
      <c r="I66" s="12"/>
      <c r="J66" s="12"/>
      <c r="K66" s="25"/>
    </row>
    <row r="67" spans="4:11" ht="15.75">
      <c r="D67" s="24"/>
      <c r="E67" s="24"/>
      <c r="F67" s="24"/>
      <c r="G67" s="24"/>
      <c r="H67" s="24"/>
      <c r="I67" s="24"/>
      <c r="J67" s="24"/>
      <c r="K67" s="25"/>
    </row>
  </sheetData>
  <mergeCells count="31">
    <mergeCell ref="B6:P6"/>
    <mergeCell ref="B7:P7"/>
    <mergeCell ref="B8:B14"/>
    <mergeCell ref="M1:P1"/>
    <mergeCell ref="M2:P2"/>
    <mergeCell ref="M3:P3"/>
    <mergeCell ref="M4:P4"/>
    <mergeCell ref="P8:P14"/>
    <mergeCell ref="K8:O8"/>
    <mergeCell ref="O10:O14"/>
    <mergeCell ref="G9:G14"/>
    <mergeCell ref="G8:I8"/>
    <mergeCell ref="B42:F42"/>
    <mergeCell ref="G42:I42"/>
    <mergeCell ref="H10:H14"/>
    <mergeCell ref="I10:I14"/>
    <mergeCell ref="E9:E14"/>
    <mergeCell ref="K42:P42"/>
    <mergeCell ref="K9:K14"/>
    <mergeCell ref="L10:N13"/>
    <mergeCell ref="L9:O9"/>
    <mergeCell ref="B51:F51"/>
    <mergeCell ref="G51:I51"/>
    <mergeCell ref="K51:P51"/>
    <mergeCell ref="J8:J14"/>
    <mergeCell ref="H9:I9"/>
    <mergeCell ref="D9:D14"/>
    <mergeCell ref="B46:P46"/>
    <mergeCell ref="C8:C14"/>
    <mergeCell ref="D8:E8"/>
    <mergeCell ref="F8:F14"/>
  </mergeCells>
  <printOptions horizontalCentered="1"/>
  <pageMargins left="0.3937007874015748" right="0.1968503937007874" top="0.38" bottom="0.15748031496062992" header="0.23" footer="0.15748031496062992"/>
  <pageSetup fitToHeight="30" horizontalDpi="600" verticalDpi="600" orientation="landscape" pageOrder="overThenDown" paperSize="9" scale="77" r:id="rId1"/>
  <rowBreaks count="1" manualBreakCount="1">
    <brk id="45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tabSelected="1" view="pageBreakPreview" zoomScaleSheetLayoutView="100" workbookViewId="0" topLeftCell="E1">
      <selection activeCell="I4" sqref="I4:K4"/>
    </sheetView>
  </sheetViews>
  <sheetFormatPr defaultColWidth="9.140625" defaultRowHeight="12.75"/>
  <cols>
    <col min="1" max="1" width="0.2890625" style="12" customWidth="1"/>
    <col min="2" max="2" width="5.7109375" style="12" customWidth="1"/>
    <col min="3" max="3" width="27.28125" style="12" customWidth="1"/>
    <col min="4" max="4" width="11.57421875" style="12" customWidth="1"/>
    <col min="5" max="5" width="23.140625" style="12" customWidth="1"/>
    <col min="6" max="6" width="16.140625" style="12" customWidth="1"/>
    <col min="7" max="7" width="17.57421875" style="12" customWidth="1"/>
    <col min="8" max="8" width="16.00390625" style="12" customWidth="1"/>
    <col min="9" max="9" width="15.7109375" style="12" customWidth="1"/>
    <col min="10" max="10" width="16.57421875" style="12" customWidth="1"/>
    <col min="11" max="11" width="17.28125" style="12" customWidth="1"/>
    <col min="12" max="12" width="16.28125" style="12" bestFit="1" customWidth="1"/>
    <col min="13" max="16384" width="9.140625" style="12" customWidth="1"/>
  </cols>
  <sheetData>
    <row r="1" spans="4:11" ht="18.75">
      <c r="D1" s="153"/>
      <c r="E1" s="153"/>
      <c r="F1" s="153"/>
      <c r="G1" s="153"/>
      <c r="H1" s="153"/>
      <c r="I1" s="296" t="s">
        <v>109</v>
      </c>
      <c r="J1" s="297"/>
      <c r="K1" s="297"/>
    </row>
    <row r="2" spans="4:11" ht="18.75">
      <c r="D2" s="153"/>
      <c r="E2" s="153"/>
      <c r="F2" s="153"/>
      <c r="G2" s="153"/>
      <c r="H2" s="153"/>
      <c r="I2" s="296" t="s">
        <v>144</v>
      </c>
      <c r="J2" s="297"/>
      <c r="K2" s="297"/>
    </row>
    <row r="3" spans="4:11" ht="18.75">
      <c r="D3" s="153"/>
      <c r="E3" s="153"/>
      <c r="F3" s="153"/>
      <c r="G3" s="153"/>
      <c r="H3" s="153"/>
      <c r="I3" s="296" t="s">
        <v>108</v>
      </c>
      <c r="J3" s="297"/>
      <c r="K3" s="297"/>
    </row>
    <row r="4" spans="4:11" ht="18.75">
      <c r="D4" s="153"/>
      <c r="E4" s="153"/>
      <c r="F4" s="153"/>
      <c r="G4" s="153"/>
      <c r="H4" s="153"/>
      <c r="I4" s="298" t="s">
        <v>180</v>
      </c>
      <c r="J4" s="297"/>
      <c r="K4" s="297"/>
    </row>
    <row r="5" spans="4:11" ht="15.75">
      <c r="D5" s="153"/>
      <c r="E5" s="153"/>
      <c r="F5" s="153"/>
      <c r="G5" s="153"/>
      <c r="H5" s="153"/>
      <c r="I5" s="278"/>
      <c r="J5" s="278"/>
      <c r="K5" s="279"/>
    </row>
    <row r="6" spans="2:11" ht="18.75" customHeight="1">
      <c r="B6" s="287" t="s">
        <v>33</v>
      </c>
      <c r="C6" s="287"/>
      <c r="D6" s="287"/>
      <c r="E6" s="287"/>
      <c r="F6" s="287"/>
      <c r="G6" s="287"/>
      <c r="H6" s="287"/>
      <c r="I6" s="287"/>
      <c r="J6" s="287"/>
      <c r="K6" s="287"/>
    </row>
    <row r="7" spans="2:11" ht="18.75" customHeight="1">
      <c r="B7" s="287" t="s">
        <v>34</v>
      </c>
      <c r="C7" s="287"/>
      <c r="D7" s="287"/>
      <c r="E7" s="287"/>
      <c r="F7" s="287"/>
      <c r="G7" s="287"/>
      <c r="H7" s="287"/>
      <c r="I7" s="287"/>
      <c r="J7" s="287"/>
      <c r="K7" s="287"/>
    </row>
    <row r="8" spans="3:5" ht="15.75">
      <c r="C8" s="1"/>
      <c r="D8" s="1"/>
      <c r="E8" s="1"/>
    </row>
    <row r="9" spans="2:11" s="1" customFormat="1" ht="153" customHeight="1">
      <c r="B9" s="161" t="s">
        <v>0</v>
      </c>
      <c r="C9" s="161" t="s">
        <v>1</v>
      </c>
      <c r="D9" s="106" t="s">
        <v>2</v>
      </c>
      <c r="E9" s="106" t="s">
        <v>24</v>
      </c>
      <c r="F9" s="162" t="s">
        <v>131</v>
      </c>
      <c r="G9" s="162" t="s">
        <v>132</v>
      </c>
      <c r="H9" s="162" t="s">
        <v>133</v>
      </c>
      <c r="I9" s="162" t="s">
        <v>134</v>
      </c>
      <c r="J9" s="162" t="s">
        <v>135</v>
      </c>
      <c r="K9" s="162" t="s">
        <v>136</v>
      </c>
    </row>
    <row r="10" spans="2:11" s="154" customFormat="1" ht="12.7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>
        <v>9</v>
      </c>
      <c r="K10" s="4">
        <v>10</v>
      </c>
    </row>
    <row r="11" spans="2:11" ht="15" customHeight="1">
      <c r="B11" s="15" t="s">
        <v>84</v>
      </c>
      <c r="C11" s="16"/>
      <c r="D11" s="16"/>
      <c r="E11" s="95"/>
      <c r="F11" s="17"/>
      <c r="G11" s="17"/>
      <c r="H11" s="17"/>
      <c r="I11" s="17"/>
      <c r="J11" s="17"/>
      <c r="K11" s="31"/>
    </row>
    <row r="12" spans="2:11" ht="30.75" customHeight="1">
      <c r="B12" s="18">
        <v>1</v>
      </c>
      <c r="C12" s="6" t="s">
        <v>91</v>
      </c>
      <c r="D12" s="30" t="s">
        <v>83</v>
      </c>
      <c r="E12" s="190">
        <v>4011.5</v>
      </c>
      <c r="F12" s="185">
        <v>20346327.02</v>
      </c>
      <c r="G12" s="185">
        <f>$G$69/$F$69*(F12-J12)</f>
        <v>17616713.06</v>
      </c>
      <c r="H12" s="185">
        <v>884303.38</v>
      </c>
      <c r="I12" s="185">
        <v>589483.44</v>
      </c>
      <c r="J12" s="185">
        <f>F12*(2956.5+1005.5)/4011.5*5/100+F12*49.5/4011.5</f>
        <v>1255827.14</v>
      </c>
      <c r="K12" s="253">
        <f>F12/E12</f>
        <v>5072</v>
      </c>
    </row>
    <row r="13" spans="2:11" ht="15" customHeight="1">
      <c r="B13" s="15" t="s">
        <v>28</v>
      </c>
      <c r="C13" s="16"/>
      <c r="D13" s="16"/>
      <c r="E13" s="191"/>
      <c r="F13" s="186"/>
      <c r="G13" s="185"/>
      <c r="H13" s="185"/>
      <c r="I13" s="185"/>
      <c r="J13" s="186"/>
      <c r="K13" s="254"/>
    </row>
    <row r="14" spans="2:11" ht="30.75" customHeight="1">
      <c r="B14" s="18">
        <v>2</v>
      </c>
      <c r="C14" s="6" t="s">
        <v>54</v>
      </c>
      <c r="D14" s="7">
        <v>1967</v>
      </c>
      <c r="E14" s="26">
        <v>2185.1</v>
      </c>
      <c r="F14" s="187">
        <v>6312324.46</v>
      </c>
      <c r="G14" s="185">
        <v>5080698.33</v>
      </c>
      <c r="H14" s="185">
        <v>255035.02</v>
      </c>
      <c r="I14" s="185">
        <v>170008.3</v>
      </c>
      <c r="J14" s="187">
        <v>806582.81</v>
      </c>
      <c r="K14" s="253">
        <f>F14/E14</f>
        <v>2888.8</v>
      </c>
    </row>
    <row r="15" spans="2:11" ht="15" customHeight="1">
      <c r="B15" s="15" t="s">
        <v>26</v>
      </c>
      <c r="C15" s="16"/>
      <c r="D15" s="16"/>
      <c r="E15" s="191"/>
      <c r="F15" s="186"/>
      <c r="G15" s="185"/>
      <c r="H15" s="185"/>
      <c r="I15" s="185"/>
      <c r="J15" s="186"/>
      <c r="K15" s="254"/>
    </row>
    <row r="16" spans="2:11" ht="30.75" customHeight="1">
      <c r="B16" s="18">
        <v>3</v>
      </c>
      <c r="C16" s="6" t="s">
        <v>55</v>
      </c>
      <c r="D16" s="7">
        <v>1973</v>
      </c>
      <c r="E16" s="36">
        <v>4684.5</v>
      </c>
      <c r="F16" s="188">
        <v>4376889.54</v>
      </c>
      <c r="G16" s="185">
        <f>$G$69/$F$69*(F16-J16)</f>
        <v>3787734.29</v>
      </c>
      <c r="H16" s="185">
        <f>(F16-J16-G16)*$H$69/($H$69+$I$69)</f>
        <v>190132.3</v>
      </c>
      <c r="I16" s="185">
        <f>(F16-J16-G16)*$I$69/($H$69+$I$69)</f>
        <v>126743.66</v>
      </c>
      <c r="J16" s="188">
        <f>F16*(4044.68+579.6)/4684.48*5/100+F16*60.2/4684.48</f>
        <v>272279.29</v>
      </c>
      <c r="K16" s="253">
        <f>F16/E16</f>
        <v>934.33</v>
      </c>
    </row>
    <row r="17" spans="2:11" ht="15" customHeight="1">
      <c r="B17" s="15" t="s">
        <v>35</v>
      </c>
      <c r="C17" s="16" t="s">
        <v>176</v>
      </c>
      <c r="D17" s="16"/>
      <c r="E17" s="95"/>
      <c r="F17" s="186"/>
      <c r="G17" s="185"/>
      <c r="H17" s="185"/>
      <c r="I17" s="185">
        <f>(F17-J17-G17)*$I$69/($H$69+$I$69)</f>
        <v>0</v>
      </c>
      <c r="J17" s="186"/>
      <c r="K17" s="254"/>
    </row>
    <row r="18" spans="2:11" ht="15" customHeight="1">
      <c r="B18" s="32">
        <v>4</v>
      </c>
      <c r="C18" s="6" t="s">
        <v>56</v>
      </c>
      <c r="D18" s="33">
        <v>1989</v>
      </c>
      <c r="E18" s="96">
        <v>4195</v>
      </c>
      <c r="F18" s="185">
        <v>10012370.5</v>
      </c>
      <c r="G18" s="185">
        <f>$G$69/$F$69*(F18-J18)</f>
        <v>8777444.6</v>
      </c>
      <c r="H18" s="185">
        <v>440600</v>
      </c>
      <c r="I18" s="185">
        <v>293707.37</v>
      </c>
      <c r="J18" s="185">
        <f>F18*5%</f>
        <v>500618.53</v>
      </c>
      <c r="K18" s="253">
        <f>F18/E18</f>
        <v>2386.74</v>
      </c>
    </row>
    <row r="19" spans="2:11" ht="15" customHeight="1">
      <c r="B19" s="15" t="s">
        <v>27</v>
      </c>
      <c r="C19" s="16"/>
      <c r="D19" s="16"/>
      <c r="E19" s="95"/>
      <c r="F19" s="186"/>
      <c r="G19" s="185">
        <f>$G$69/$F$69*(F19-J19)</f>
        <v>0</v>
      </c>
      <c r="H19" s="185">
        <f>(F19-J19-G19)*$H$69/($H$69+$I$69)</f>
        <v>0</v>
      </c>
      <c r="I19" s="185">
        <f>(F19-J19-G19)*$I$69/($H$69+$I$69)</f>
        <v>0</v>
      </c>
      <c r="J19" s="186"/>
      <c r="K19" s="254"/>
    </row>
    <row r="20" spans="2:11" ht="15" customHeight="1">
      <c r="B20" s="32">
        <v>5</v>
      </c>
      <c r="C20" s="6" t="s">
        <v>57</v>
      </c>
      <c r="D20" s="33">
        <v>1959</v>
      </c>
      <c r="E20" s="96">
        <v>1336.3</v>
      </c>
      <c r="F20" s="185">
        <v>1963585</v>
      </c>
      <c r="G20" s="185">
        <v>1545734.95</v>
      </c>
      <c r="H20" s="185">
        <v>77561.11</v>
      </c>
      <c r="I20" s="185">
        <v>51740.82</v>
      </c>
      <c r="J20" s="182">
        <v>288548.12</v>
      </c>
      <c r="K20" s="253">
        <f>F20/E20</f>
        <v>1469.42</v>
      </c>
    </row>
    <row r="21" spans="2:11" ht="15" customHeight="1">
      <c r="B21" s="15" t="s">
        <v>30</v>
      </c>
      <c r="C21" s="16"/>
      <c r="D21" s="16"/>
      <c r="E21" s="95"/>
      <c r="F21" s="186"/>
      <c r="G21" s="185"/>
      <c r="H21" s="185"/>
      <c r="I21" s="185"/>
      <c r="J21" s="186"/>
      <c r="K21" s="254"/>
    </row>
    <row r="22" spans="2:11" ht="33" customHeight="1">
      <c r="B22" s="34">
        <v>6</v>
      </c>
      <c r="C22" s="6" t="s">
        <v>58</v>
      </c>
      <c r="D22" s="35">
        <v>1975</v>
      </c>
      <c r="E22" s="97">
        <v>5304.7</v>
      </c>
      <c r="F22" s="185">
        <v>6324961.93</v>
      </c>
      <c r="G22" s="185">
        <f aca="true" t="shared" si="0" ref="G22:G27">$G$69/$F$69*(F22-J22)</f>
        <v>5253007.32</v>
      </c>
      <c r="H22" s="185">
        <f>(F22-J22-G22)*$H$69/($H$69+$I$69)</f>
        <v>263684.38</v>
      </c>
      <c r="I22" s="185">
        <f>(F22-J22-G22)*$I$69/($H$69+$I$69)</f>
        <v>175774.04</v>
      </c>
      <c r="J22" s="185">
        <f>F22*10%</f>
        <v>632496.19</v>
      </c>
      <c r="K22" s="253">
        <f>F22/E22</f>
        <v>1192.33</v>
      </c>
    </row>
    <row r="23" spans="2:11" ht="15" customHeight="1">
      <c r="B23" s="15" t="s">
        <v>29</v>
      </c>
      <c r="C23" s="16"/>
      <c r="D23" s="16"/>
      <c r="E23" s="191"/>
      <c r="F23" s="186"/>
      <c r="G23" s="185">
        <f t="shared" si="0"/>
        <v>0</v>
      </c>
      <c r="H23" s="185">
        <f>(F23-J23-G23)*$H$69/($H$69+$I$69)</f>
        <v>0</v>
      </c>
      <c r="I23" s="185">
        <f>(F23-J23-G23)*$I$69/($H$69+$I$69)</f>
        <v>0</v>
      </c>
      <c r="J23" s="186"/>
      <c r="K23" s="254"/>
    </row>
    <row r="24" spans="2:11" ht="15.75" customHeight="1">
      <c r="B24" s="18">
        <v>7</v>
      </c>
      <c r="C24" s="6" t="s">
        <v>59</v>
      </c>
      <c r="D24" s="106">
        <v>1972</v>
      </c>
      <c r="E24" s="40">
        <v>2678.9</v>
      </c>
      <c r="F24" s="271">
        <v>15415333.32</v>
      </c>
      <c r="G24" s="185">
        <v>13513968.02</v>
      </c>
      <c r="H24" s="185">
        <v>678380.98</v>
      </c>
      <c r="I24" s="185">
        <v>452187.35</v>
      </c>
      <c r="J24" s="182">
        <v>770796.97</v>
      </c>
      <c r="K24" s="253">
        <f>F24/E24</f>
        <v>5754.35</v>
      </c>
    </row>
    <row r="25" spans="2:11" ht="15" customHeight="1">
      <c r="B25" s="15" t="s">
        <v>25</v>
      </c>
      <c r="C25" s="16"/>
      <c r="D25" s="16"/>
      <c r="E25" s="191"/>
      <c r="F25" s="186"/>
      <c r="G25" s="185">
        <f t="shared" si="0"/>
        <v>0</v>
      </c>
      <c r="H25" s="185">
        <f>(F25-J25-G25)*$H$69/($H$69+$I$69)</f>
        <v>0</v>
      </c>
      <c r="I25" s="185">
        <f>(F25-J25-G25)*$I$69/($H$69+$I$69)</f>
        <v>0</v>
      </c>
      <c r="J25" s="186"/>
      <c r="K25" s="254"/>
    </row>
    <row r="26" spans="2:11" ht="35.25" customHeight="1">
      <c r="B26" s="132">
        <v>8</v>
      </c>
      <c r="C26" s="6" t="s">
        <v>60</v>
      </c>
      <c r="D26" s="109">
        <v>1957</v>
      </c>
      <c r="E26" s="40">
        <v>5517.7</v>
      </c>
      <c r="F26" s="185">
        <v>16499502.94</v>
      </c>
      <c r="G26" s="185">
        <v>13687941.27</v>
      </c>
      <c r="H26" s="185">
        <f>(F26-J26-G26)*$H$69/($H$69+$I$69)</f>
        <v>687091.43</v>
      </c>
      <c r="I26" s="185">
        <v>458020.44</v>
      </c>
      <c r="J26" s="185">
        <f>F26*10.1%</f>
        <v>1666449.8</v>
      </c>
      <c r="K26" s="253">
        <f aca="true" t="shared" si="1" ref="K26:K38">F26/E26</f>
        <v>2990.29</v>
      </c>
    </row>
    <row r="27" spans="2:11" ht="35.25" customHeight="1">
      <c r="B27" s="132">
        <v>9</v>
      </c>
      <c r="C27" s="6" t="s">
        <v>61</v>
      </c>
      <c r="D27" s="110">
        <v>1955</v>
      </c>
      <c r="E27" s="40">
        <v>4746.8</v>
      </c>
      <c r="F27" s="185">
        <v>10213523.15</v>
      </c>
      <c r="G27" s="185">
        <f t="shared" si="0"/>
        <v>8473110.1</v>
      </c>
      <c r="H27" s="185">
        <f>(F27-J27-G27)*$H$69/($H$69+$I$69)</f>
        <v>425323.37</v>
      </c>
      <c r="I27" s="185">
        <f>(F27-J27-G27)*$I$69/($H$69+$I$69)</f>
        <v>283523.84</v>
      </c>
      <c r="J27" s="185">
        <f>F27*10.1%</f>
        <v>1031565.84</v>
      </c>
      <c r="K27" s="253">
        <f t="shared" si="1"/>
        <v>2151.66</v>
      </c>
    </row>
    <row r="28" spans="2:11" ht="15.75" customHeight="1">
      <c r="B28" s="132">
        <v>10</v>
      </c>
      <c r="C28" s="6" t="s">
        <v>81</v>
      </c>
      <c r="D28" s="86">
        <v>1953</v>
      </c>
      <c r="E28" s="40">
        <v>617.7</v>
      </c>
      <c r="F28" s="185">
        <v>3072615.67</v>
      </c>
      <c r="G28" s="185">
        <v>2549033.31</v>
      </c>
      <c r="H28" s="185">
        <v>127953.43</v>
      </c>
      <c r="I28" s="185">
        <f>(F28-J28-G28)*$I$69/($H$69+$I$69)</f>
        <v>85294.74</v>
      </c>
      <c r="J28" s="185">
        <v>310334.19</v>
      </c>
      <c r="K28" s="253">
        <f t="shared" si="1"/>
        <v>4974.28</v>
      </c>
    </row>
    <row r="29" spans="2:11" ht="48.75" customHeight="1">
      <c r="B29" s="132">
        <v>11</v>
      </c>
      <c r="C29" s="6" t="s">
        <v>62</v>
      </c>
      <c r="D29" s="86">
        <v>1971</v>
      </c>
      <c r="E29" s="40">
        <v>3894.6</v>
      </c>
      <c r="F29" s="185">
        <v>14871250.49</v>
      </c>
      <c r="G29" s="185">
        <v>12337147.6</v>
      </c>
      <c r="H29" s="185">
        <v>619285.85</v>
      </c>
      <c r="I29" s="185">
        <v>412820.73</v>
      </c>
      <c r="J29" s="185">
        <v>1501996.31</v>
      </c>
      <c r="K29" s="253">
        <f t="shared" si="1"/>
        <v>3818.43</v>
      </c>
    </row>
    <row r="30" spans="2:11" ht="35.25" customHeight="1">
      <c r="B30" s="132">
        <v>12</v>
      </c>
      <c r="C30" s="6" t="s">
        <v>63</v>
      </c>
      <c r="D30" s="86">
        <v>1970</v>
      </c>
      <c r="E30" s="40">
        <v>3831</v>
      </c>
      <c r="F30" s="185">
        <v>14974391.16</v>
      </c>
      <c r="G30" s="185">
        <v>12423079.66</v>
      </c>
      <c r="H30" s="185">
        <v>623599.42</v>
      </c>
      <c r="I30" s="185">
        <v>415696.06</v>
      </c>
      <c r="J30" s="185">
        <v>1512016.02</v>
      </c>
      <c r="K30" s="253">
        <f t="shared" si="1"/>
        <v>3908.74</v>
      </c>
    </row>
    <row r="31" spans="2:11" ht="48.75" customHeight="1">
      <c r="B31" s="132">
        <v>13</v>
      </c>
      <c r="C31" s="6" t="s">
        <v>68</v>
      </c>
      <c r="D31" s="86">
        <v>1969</v>
      </c>
      <c r="E31" s="40">
        <v>3889.4</v>
      </c>
      <c r="F31" s="185">
        <v>13207061.31</v>
      </c>
      <c r="G31" s="185">
        <v>10956849.59</v>
      </c>
      <c r="H31" s="185">
        <v>549999.3</v>
      </c>
      <c r="I31" s="185">
        <v>366633.69</v>
      </c>
      <c r="J31" s="185">
        <v>1333578.73</v>
      </c>
      <c r="K31" s="253">
        <f t="shared" si="1"/>
        <v>3395.66</v>
      </c>
    </row>
    <row r="32" spans="2:11" ht="48.75" customHeight="1">
      <c r="B32" s="132">
        <v>14</v>
      </c>
      <c r="C32" s="6" t="s">
        <v>69</v>
      </c>
      <c r="D32" s="86">
        <v>1969</v>
      </c>
      <c r="E32" s="40">
        <v>3919.7</v>
      </c>
      <c r="F32" s="185">
        <v>13094871.79</v>
      </c>
      <c r="G32" s="185">
        <v>10863840.55</v>
      </c>
      <c r="H32" s="185">
        <v>545330.55</v>
      </c>
      <c r="I32" s="185">
        <v>363521.43</v>
      </c>
      <c r="J32" s="185">
        <v>1322179.26</v>
      </c>
      <c r="K32" s="253">
        <f t="shared" si="1"/>
        <v>3340.78</v>
      </c>
    </row>
    <row r="33" spans="2:11" ht="48.75" customHeight="1">
      <c r="B33" s="132">
        <v>15</v>
      </c>
      <c r="C33" s="6" t="s">
        <v>71</v>
      </c>
      <c r="D33" s="86">
        <v>1970</v>
      </c>
      <c r="E33" s="40">
        <v>3949.6</v>
      </c>
      <c r="F33" s="185">
        <v>14150004.79</v>
      </c>
      <c r="G33" s="185">
        <f>$G$69/$F$69*(F33-J33)</f>
        <v>11738804.21</v>
      </c>
      <c r="H33" s="185">
        <f>(F33-J33-G33)*$H$69/($H$69+$I$69)</f>
        <v>589250.9</v>
      </c>
      <c r="I33" s="185">
        <f>(F33-J33-G33)*$I$69/($H$69+$I$69)</f>
        <v>392799.2</v>
      </c>
      <c r="J33" s="185">
        <f>F33*10.1%</f>
        <v>1429150.48</v>
      </c>
      <c r="K33" s="253">
        <f t="shared" si="1"/>
        <v>3582.64</v>
      </c>
    </row>
    <row r="34" spans="2:11" ht="48.75" customHeight="1">
      <c r="B34" s="132">
        <v>16</v>
      </c>
      <c r="C34" s="6" t="s">
        <v>70</v>
      </c>
      <c r="D34" s="86">
        <v>1971</v>
      </c>
      <c r="E34" s="40">
        <v>7545.9</v>
      </c>
      <c r="F34" s="185">
        <v>28165151.31</v>
      </c>
      <c r="G34" s="185">
        <v>23025097.73</v>
      </c>
      <c r="H34" s="185">
        <v>1155794.32</v>
      </c>
      <c r="I34" s="185">
        <v>770450.77</v>
      </c>
      <c r="J34" s="185">
        <v>3213808.49</v>
      </c>
      <c r="K34" s="253">
        <f t="shared" si="1"/>
        <v>3732.51</v>
      </c>
    </row>
    <row r="35" spans="2:11" ht="30.75" customHeight="1">
      <c r="B35" s="132">
        <v>17</v>
      </c>
      <c r="C35" s="6" t="s">
        <v>79</v>
      </c>
      <c r="D35" s="86">
        <v>1970</v>
      </c>
      <c r="E35" s="40">
        <v>3837.8</v>
      </c>
      <c r="F35" s="185">
        <v>14773138.45</v>
      </c>
      <c r="G35" s="185">
        <v>12256123.32</v>
      </c>
      <c r="H35" s="185">
        <v>615218.75</v>
      </c>
      <c r="I35" s="185">
        <v>410109.45</v>
      </c>
      <c r="J35" s="185">
        <v>1491686.93</v>
      </c>
      <c r="K35" s="253">
        <f t="shared" si="1"/>
        <v>3849.38</v>
      </c>
    </row>
    <row r="36" spans="2:11" ht="30.75" customHeight="1">
      <c r="B36" s="132">
        <v>18</v>
      </c>
      <c r="C36" s="6" t="s">
        <v>80</v>
      </c>
      <c r="D36" s="86">
        <v>1971</v>
      </c>
      <c r="E36" s="40">
        <v>3829.9</v>
      </c>
      <c r="F36" s="185">
        <v>14632100.93</v>
      </c>
      <c r="G36" s="185">
        <v>12139108.2</v>
      </c>
      <c r="H36" s="185">
        <v>609344.96</v>
      </c>
      <c r="I36" s="185">
        <v>406193.93</v>
      </c>
      <c r="J36" s="185">
        <v>1477453.84</v>
      </c>
      <c r="K36" s="253">
        <f t="shared" si="1"/>
        <v>3820.49</v>
      </c>
    </row>
    <row r="37" spans="2:11" ht="15.75" customHeight="1">
      <c r="B37" s="132">
        <v>19</v>
      </c>
      <c r="C37" s="6" t="s">
        <v>67</v>
      </c>
      <c r="D37" s="86">
        <v>1971</v>
      </c>
      <c r="E37" s="40">
        <v>3836.5</v>
      </c>
      <c r="F37" s="185">
        <v>7732241.42</v>
      </c>
      <c r="G37" s="185">
        <v>6415049.78</v>
      </c>
      <c r="H37" s="185">
        <v>322015.31</v>
      </c>
      <c r="I37" s="185">
        <v>214657.75</v>
      </c>
      <c r="J37" s="185">
        <v>780518.58</v>
      </c>
      <c r="K37" s="253">
        <f t="shared" si="1"/>
        <v>2015.44</v>
      </c>
    </row>
    <row r="38" spans="2:11" ht="35.25" customHeight="1">
      <c r="B38" s="132">
        <v>20</v>
      </c>
      <c r="C38" s="6" t="s">
        <v>72</v>
      </c>
      <c r="D38" s="86">
        <v>1958</v>
      </c>
      <c r="E38" s="40">
        <v>4162.1</v>
      </c>
      <c r="F38" s="185">
        <v>12069082.56</v>
      </c>
      <c r="G38" s="185">
        <f>$G$69/$F$69*(F38-J38)</f>
        <v>10012476.97</v>
      </c>
      <c r="H38" s="185">
        <f>(F38-J38-G38)*$H$69/($H$69+$I$69)</f>
        <v>502594.73</v>
      </c>
      <c r="I38" s="185">
        <f>(F38-J38-G38)*$I$69/($H$69+$I$69)</f>
        <v>335033.52</v>
      </c>
      <c r="J38" s="185">
        <f>F38*10.1%</f>
        <v>1218977.34</v>
      </c>
      <c r="K38" s="253">
        <f t="shared" si="1"/>
        <v>2899.76</v>
      </c>
    </row>
    <row r="39" spans="2:11" ht="15" customHeight="1">
      <c r="B39" s="15" t="s">
        <v>85</v>
      </c>
      <c r="C39" s="16"/>
      <c r="D39" s="86"/>
      <c r="E39" s="40"/>
      <c r="F39" s="186"/>
      <c r="G39" s="185"/>
      <c r="H39" s="185"/>
      <c r="I39" s="185"/>
      <c r="J39" s="186"/>
      <c r="K39" s="253"/>
    </row>
    <row r="40" spans="2:11" ht="15.75" customHeight="1">
      <c r="B40" s="131">
        <v>21</v>
      </c>
      <c r="C40" s="112" t="s">
        <v>77</v>
      </c>
      <c r="D40" s="93">
        <v>1957</v>
      </c>
      <c r="E40" s="113">
        <v>689.9</v>
      </c>
      <c r="F40" s="268">
        <v>5144628.11</v>
      </c>
      <c r="G40" s="185">
        <f>$G$69/$F$69*(F40-J40)</f>
        <v>4510089.62</v>
      </c>
      <c r="H40" s="185">
        <f>(F40-J40-G40)*$H$69/($H$69+$I$69)</f>
        <v>226392.26</v>
      </c>
      <c r="I40" s="185">
        <f>(F40-J40-G40)*$I$69/($H$69+$I$69)</f>
        <v>150914.82</v>
      </c>
      <c r="J40" s="188">
        <f>F40*5%</f>
        <v>257231.41</v>
      </c>
      <c r="K40" s="253">
        <f aca="true" t="shared" si="2" ref="K40:K45">F40/E40</f>
        <v>7457.06</v>
      </c>
    </row>
    <row r="41" spans="2:11" ht="35.25" customHeight="1">
      <c r="B41" s="132">
        <v>22</v>
      </c>
      <c r="C41" s="77" t="s">
        <v>74</v>
      </c>
      <c r="D41" s="30">
        <v>1959</v>
      </c>
      <c r="E41" s="192">
        <f>6500.3</f>
        <v>6500.3</v>
      </c>
      <c r="F41" s="187">
        <v>16644929.79</v>
      </c>
      <c r="G41" s="185">
        <f>$G$69/$F$69*(F41-J41)</f>
        <v>14468479.37</v>
      </c>
      <c r="H41" s="185">
        <f>(F41-J41-G41)*$H$69/($H$69+$I$69)</f>
        <v>726271.98</v>
      </c>
      <c r="I41" s="185">
        <f>(F41-J41-G41)*$I$69/($H$69+$I$69)</f>
        <v>484138.5</v>
      </c>
      <c r="J41" s="187">
        <f>F41*(6500.3-55)/6500.3*5%+F41*55/6500.3</f>
        <v>966039.94</v>
      </c>
      <c r="K41" s="253">
        <f t="shared" si="2"/>
        <v>2560.64</v>
      </c>
    </row>
    <row r="42" spans="2:11" ht="15.75" customHeight="1">
      <c r="B42" s="132">
        <v>23</v>
      </c>
      <c r="C42" s="6" t="s">
        <v>73</v>
      </c>
      <c r="D42" s="86">
        <v>1960</v>
      </c>
      <c r="E42" s="40">
        <v>6631.7</v>
      </c>
      <c r="F42" s="185">
        <v>14573785.81</v>
      </c>
      <c r="G42" s="185">
        <f>$G$69/$F$69*(F42-J42)</f>
        <v>10632783.21</v>
      </c>
      <c r="H42" s="185">
        <f>(F42-J42-G42)*$H$69/($H$69+$I$69)</f>
        <v>533732.15</v>
      </c>
      <c r="I42" s="185">
        <f>(F42-J42-G42)*$I$69/($H$69+$I$69)</f>
        <v>355789.96</v>
      </c>
      <c r="J42" s="185">
        <f>F42*(6631.7-130.8-859-85.8-37)/6631.7*5%+F42*(130.8+859+85.8+37)/6631.7</f>
        <v>3051480.49</v>
      </c>
      <c r="K42" s="253">
        <f t="shared" si="2"/>
        <v>2197.59</v>
      </c>
    </row>
    <row r="43" spans="2:11" ht="35.25" customHeight="1">
      <c r="B43" s="132">
        <v>24</v>
      </c>
      <c r="C43" s="6" t="s">
        <v>75</v>
      </c>
      <c r="D43" s="86">
        <v>1960</v>
      </c>
      <c r="E43" s="40">
        <v>7615.2</v>
      </c>
      <c r="F43" s="185">
        <v>19457206.48</v>
      </c>
      <c r="G43" s="185">
        <f>$G$69/$F$69*(F43-J43)</f>
        <v>12702299.5</v>
      </c>
      <c r="H43" s="185">
        <f>(F43-J43-G43)*$H$69/($H$69+$I$69)</f>
        <v>637615.33</v>
      </c>
      <c r="I43" s="185">
        <f>(F43-J43-G43)*$I$69/($H$69+$I$69)</f>
        <v>425039.29</v>
      </c>
      <c r="J43" s="185">
        <f>F43*(7615.2-35.6-487.7-432.8-422.2-566)/7615.2*5/100+F43*(35.6+487.7+432.8+422.2+566)/7615.2</f>
        <v>5692252.36</v>
      </c>
      <c r="K43" s="253">
        <f t="shared" si="2"/>
        <v>2555.05</v>
      </c>
    </row>
    <row r="44" spans="2:11" ht="34.5" customHeight="1">
      <c r="B44" s="132">
        <v>25</v>
      </c>
      <c r="C44" s="112" t="s">
        <v>87</v>
      </c>
      <c r="D44" s="93">
        <v>1984</v>
      </c>
      <c r="E44" s="113">
        <v>5406.6</v>
      </c>
      <c r="F44" s="188">
        <v>6588319.28</v>
      </c>
      <c r="G44" s="185">
        <f>$G$69/$F$69*(F44-J44)</f>
        <v>5775715.91</v>
      </c>
      <c r="H44" s="185">
        <f>(F44-J44-G44)*$H$69/($H$69+$I$69)</f>
        <v>289922.7</v>
      </c>
      <c r="I44" s="185">
        <f>(F44-J44-G44)*$I$69/($H$69+$I$69)</f>
        <v>193264.71</v>
      </c>
      <c r="J44" s="188">
        <f>F44*5%</f>
        <v>329415.96</v>
      </c>
      <c r="K44" s="253">
        <f t="shared" si="2"/>
        <v>1218.57</v>
      </c>
    </row>
    <row r="45" spans="2:11" ht="15.75" customHeight="1">
      <c r="B45" s="18"/>
      <c r="C45" s="80" t="s">
        <v>66</v>
      </c>
      <c r="D45" s="17"/>
      <c r="E45" s="189">
        <f>SUM(E11:E44)</f>
        <v>104818.4</v>
      </c>
      <c r="F45" s="189">
        <f>SUM(F12:F44)</f>
        <v>304615597.21</v>
      </c>
      <c r="G45" s="189">
        <f>SUM(G12:G44)</f>
        <v>250542330.47</v>
      </c>
      <c r="H45" s="189">
        <f>SUM(H12:H44)</f>
        <v>12576433.91</v>
      </c>
      <c r="I45" s="189">
        <f>SUM(I12:I44)</f>
        <v>8383547.81</v>
      </c>
      <c r="J45" s="189">
        <f>SUM(J12:J44)</f>
        <v>33113285.02</v>
      </c>
      <c r="K45" s="189">
        <f t="shared" si="2"/>
        <v>2906.13</v>
      </c>
    </row>
    <row r="46" spans="2:11" ht="33.75" customHeight="1">
      <c r="B46" s="116"/>
      <c r="C46" s="117"/>
      <c r="E46" s="89"/>
      <c r="F46" s="89"/>
      <c r="G46" s="89"/>
      <c r="H46" s="89"/>
      <c r="I46" s="89"/>
      <c r="J46" s="89"/>
      <c r="K46" s="118"/>
    </row>
    <row r="47" spans="2:11" ht="33.75" customHeight="1">
      <c r="B47" s="237" t="s">
        <v>143</v>
      </c>
      <c r="C47" s="234"/>
      <c r="D47" s="238"/>
      <c r="E47" s="235"/>
      <c r="F47" s="269"/>
      <c r="G47" s="235"/>
      <c r="H47" s="235"/>
      <c r="I47" s="239"/>
      <c r="J47" s="239"/>
      <c r="K47" s="236" t="s">
        <v>147</v>
      </c>
    </row>
    <row r="48" spans="2:11" ht="15.75" customHeight="1">
      <c r="B48" s="116"/>
      <c r="C48" s="117"/>
      <c r="E48" s="247"/>
      <c r="F48" s="247"/>
      <c r="G48" s="247"/>
      <c r="H48" s="247"/>
      <c r="I48" s="247"/>
      <c r="J48" s="247"/>
      <c r="K48" s="247"/>
    </row>
    <row r="49" spans="2:11" ht="15.75" customHeight="1">
      <c r="B49" s="116"/>
      <c r="C49" s="117"/>
      <c r="E49" s="247"/>
      <c r="F49" s="247"/>
      <c r="G49" s="247"/>
      <c r="H49" s="247"/>
      <c r="I49" s="247"/>
      <c r="J49" s="247"/>
      <c r="K49" s="247"/>
    </row>
    <row r="50" spans="2:11" ht="15.75" customHeight="1">
      <c r="B50" s="116"/>
      <c r="C50" s="117"/>
      <c r="E50" s="247"/>
      <c r="F50" s="247"/>
      <c r="G50" s="247"/>
      <c r="H50" s="247"/>
      <c r="I50" s="247"/>
      <c r="J50" s="247"/>
      <c r="K50" s="247"/>
    </row>
    <row r="51" spans="2:11" s="1" customFormat="1" ht="17.25" customHeight="1">
      <c r="B51" s="294"/>
      <c r="C51" s="295"/>
      <c r="D51" s="295"/>
      <c r="E51" s="295"/>
      <c r="F51" s="295"/>
      <c r="G51" s="295"/>
      <c r="H51" s="295"/>
      <c r="I51" s="295"/>
      <c r="J51" s="295"/>
      <c r="K51" s="295"/>
    </row>
    <row r="52" spans="2:11" s="181" customFormat="1" ht="12.75" customHeight="1">
      <c r="B52" s="258"/>
      <c r="C52" s="258"/>
      <c r="D52" s="258"/>
      <c r="E52" s="258"/>
      <c r="F52" s="258"/>
      <c r="G52" s="258"/>
      <c r="H52" s="258"/>
      <c r="I52" s="258"/>
      <c r="J52" s="258"/>
      <c r="K52" s="258"/>
    </row>
    <row r="53" spans="2:11" ht="15" customHeight="1">
      <c r="B53" s="259"/>
      <c r="C53" s="260"/>
      <c r="D53" s="260"/>
      <c r="E53" s="260"/>
      <c r="K53" s="85"/>
    </row>
    <row r="54" spans="2:11" ht="48.75" customHeight="1">
      <c r="B54" s="116"/>
      <c r="C54" s="155"/>
      <c r="D54" s="156"/>
      <c r="E54" s="157"/>
      <c r="F54" s="261"/>
      <c r="G54" s="140"/>
      <c r="H54" s="140"/>
      <c r="I54" s="140"/>
      <c r="J54" s="140"/>
      <c r="K54" s="165"/>
    </row>
    <row r="55" spans="2:11" ht="15" customHeight="1">
      <c r="B55" s="259"/>
      <c r="C55" s="260"/>
      <c r="D55" s="260"/>
      <c r="E55" s="260"/>
      <c r="K55" s="85"/>
    </row>
    <row r="56" spans="2:11" ht="35.25" customHeight="1">
      <c r="B56" s="116"/>
      <c r="C56" s="155"/>
      <c r="D56" s="156"/>
      <c r="E56" s="157"/>
      <c r="F56" s="140"/>
      <c r="G56" s="140"/>
      <c r="H56" s="140"/>
      <c r="I56" s="140"/>
      <c r="J56" s="140"/>
      <c r="K56" s="165"/>
    </row>
    <row r="57" spans="2:11" ht="15.75" customHeight="1">
      <c r="B57" s="116"/>
      <c r="C57" s="117"/>
      <c r="E57" s="89"/>
      <c r="F57" s="89"/>
      <c r="G57" s="89"/>
      <c r="H57" s="89"/>
      <c r="I57" s="89"/>
      <c r="J57" s="89"/>
      <c r="K57" s="118"/>
    </row>
    <row r="58" spans="2:11" ht="15.75" customHeight="1">
      <c r="B58" s="116"/>
      <c r="C58" s="117"/>
      <c r="E58" s="89"/>
      <c r="F58" s="89"/>
      <c r="G58" s="89"/>
      <c r="H58" s="89"/>
      <c r="I58" s="89"/>
      <c r="J58" s="89"/>
      <c r="K58" s="118"/>
    </row>
    <row r="59" spans="2:11" ht="15.75" customHeight="1">
      <c r="B59" s="116"/>
      <c r="C59" s="117"/>
      <c r="E59" s="89"/>
      <c r="F59" s="89"/>
      <c r="G59" s="89"/>
      <c r="H59" s="89"/>
      <c r="I59" s="89"/>
      <c r="J59" s="89"/>
      <c r="K59" s="118"/>
    </row>
    <row r="60" spans="2:11" ht="15.75" customHeight="1">
      <c r="B60" s="116"/>
      <c r="C60" s="117"/>
      <c r="E60" s="89"/>
      <c r="F60" s="270"/>
      <c r="G60" s="177"/>
      <c r="H60" s="176"/>
      <c r="I60" s="176"/>
      <c r="J60" s="89"/>
      <c r="K60" s="118"/>
    </row>
    <row r="61" spans="2:11" ht="15.75" customHeight="1">
      <c r="B61" s="116"/>
      <c r="C61" s="117"/>
      <c r="E61" s="89"/>
      <c r="F61" s="89"/>
      <c r="G61" s="89"/>
      <c r="H61" s="89"/>
      <c r="I61" s="89"/>
      <c r="J61" s="89"/>
      <c r="K61" s="118"/>
    </row>
    <row r="62" spans="2:11" ht="15.75" customHeight="1">
      <c r="B62" s="116"/>
      <c r="C62" s="155"/>
      <c r="D62" s="156"/>
      <c r="E62" s="157"/>
      <c r="F62" s="140"/>
      <c r="G62" s="140"/>
      <c r="H62" s="140"/>
      <c r="I62" s="140"/>
      <c r="J62" s="140"/>
      <c r="K62" s="165"/>
    </row>
    <row r="63" spans="2:11" ht="35.25" customHeight="1">
      <c r="B63" s="116"/>
      <c r="C63" s="155"/>
      <c r="D63" s="156"/>
      <c r="E63" s="157"/>
      <c r="F63" s="140"/>
      <c r="G63" s="140"/>
      <c r="H63" s="140"/>
      <c r="I63" s="140"/>
      <c r="J63" s="140"/>
      <c r="K63" s="165"/>
    </row>
    <row r="64" spans="2:11" ht="15.75" customHeight="1">
      <c r="B64" s="116"/>
      <c r="C64" s="117"/>
      <c r="E64" s="89"/>
      <c r="F64" s="89"/>
      <c r="G64" s="89"/>
      <c r="H64" s="89"/>
      <c r="I64" s="89"/>
      <c r="J64" s="89"/>
      <c r="K64" s="118"/>
    </row>
    <row r="65" spans="2:11" ht="15.75" customHeight="1">
      <c r="B65" s="116"/>
      <c r="C65" s="117"/>
      <c r="E65" s="89"/>
      <c r="F65" s="89"/>
      <c r="G65" s="89"/>
      <c r="H65" s="89"/>
      <c r="I65" s="89"/>
      <c r="J65" s="89"/>
      <c r="K65" s="118"/>
    </row>
    <row r="66" spans="2:11" ht="15.75" customHeight="1">
      <c r="B66" s="116"/>
      <c r="C66" s="117"/>
      <c r="E66" s="89"/>
      <c r="F66" s="89"/>
      <c r="G66" s="89"/>
      <c r="H66" s="89"/>
      <c r="I66" s="89"/>
      <c r="J66" s="89"/>
      <c r="K66" s="118"/>
    </row>
    <row r="67" spans="2:11" ht="6" customHeight="1">
      <c r="B67" s="116"/>
      <c r="C67" s="117"/>
      <c r="E67" s="89"/>
      <c r="F67" s="89"/>
      <c r="G67" s="89"/>
      <c r="H67" s="89"/>
      <c r="I67" s="89"/>
      <c r="J67" s="89"/>
      <c r="K67" s="118"/>
    </row>
    <row r="68" spans="2:11" ht="15.75" customHeight="1">
      <c r="B68" s="116"/>
      <c r="C68" s="117"/>
      <c r="E68" s="89"/>
      <c r="F68" s="89"/>
      <c r="G68" s="89"/>
      <c r="H68" s="89"/>
      <c r="I68" s="89"/>
      <c r="J68" s="89"/>
      <c r="K68" s="118"/>
    </row>
    <row r="69" spans="6:10" ht="26.25" customHeight="1">
      <c r="F69" s="29">
        <f>G69+H69+I69</f>
        <v>329541.4</v>
      </c>
      <c r="G69" s="89">
        <v>304100.8</v>
      </c>
      <c r="H69" s="89">
        <v>15264.9</v>
      </c>
      <c r="I69" s="89">
        <v>10175.7</v>
      </c>
      <c r="J69" s="1" t="s">
        <v>92</v>
      </c>
    </row>
    <row r="70" spans="6:10" ht="15.75">
      <c r="F70" s="29"/>
      <c r="G70" s="94"/>
      <c r="H70" s="94"/>
      <c r="I70" s="94"/>
      <c r="J70" s="92"/>
    </row>
    <row r="71" spans="3:10" ht="15.75">
      <c r="C71" s="88"/>
      <c r="F71" s="29"/>
      <c r="G71" s="89"/>
      <c r="H71" s="89"/>
      <c r="I71" s="89"/>
      <c r="J71" s="1"/>
    </row>
    <row r="72" spans="7:9" ht="14.25" customHeight="1">
      <c r="G72" s="94"/>
      <c r="H72" s="94"/>
      <c r="I72" s="94"/>
    </row>
    <row r="73" spans="7:9" ht="14.25" customHeight="1">
      <c r="G73" s="89"/>
      <c r="H73" s="94"/>
      <c r="I73" s="94"/>
    </row>
    <row r="74" spans="6:10" ht="14.25" customHeight="1">
      <c r="F74" s="29"/>
      <c r="G74" s="94"/>
      <c r="H74" s="94"/>
      <c r="I74" s="94"/>
      <c r="J74" s="29"/>
    </row>
    <row r="75" spans="5:10" ht="14.25" customHeight="1">
      <c r="E75" s="89"/>
      <c r="F75" s="89"/>
      <c r="G75" s="89"/>
      <c r="H75" s="89"/>
      <c r="I75" s="89"/>
      <c r="J75" s="91"/>
    </row>
    <row r="76" spans="5:10" ht="14.25" customHeight="1">
      <c r="E76" s="89"/>
      <c r="F76" s="89"/>
      <c r="G76" s="89"/>
      <c r="H76" s="89"/>
      <c r="I76" s="89"/>
      <c r="J76" s="91"/>
    </row>
    <row r="77" spans="5:10" ht="14.25" customHeight="1">
      <c r="E77" s="89"/>
      <c r="F77" s="89"/>
      <c r="G77" s="90"/>
      <c r="H77" s="89"/>
      <c r="I77" s="89"/>
      <c r="J77" s="91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 hidden="1"/>
    <row r="95" ht="15.75" hidden="1"/>
    <row r="96" ht="15.75" hidden="1"/>
    <row r="97" ht="15.75" hidden="1"/>
    <row r="98" ht="15.75" hidden="1"/>
    <row r="99" ht="15.75" hidden="1"/>
  </sheetData>
  <mergeCells count="7">
    <mergeCell ref="B51:K51"/>
    <mergeCell ref="I1:K1"/>
    <mergeCell ref="I2:K2"/>
    <mergeCell ref="I3:K3"/>
    <mergeCell ref="I4:K4"/>
    <mergeCell ref="B6:K6"/>
    <mergeCell ref="B7:K7"/>
  </mergeCells>
  <printOptions horizontalCentered="1"/>
  <pageMargins left="0.35433070866141736" right="0.15748031496062992" top="0.5905511811023623" bottom="0.15748031496062992" header="0.31496062992125984" footer="0.1968503937007874"/>
  <pageSetup horizontalDpi="600" verticalDpi="600" orientation="landscape" paperSize="9" scale="86" r:id="rId1"/>
  <headerFooter alignWithMargins="0">
    <oddHeader>&amp;C3</oddHeader>
  </headerFooter>
  <rowBreaks count="2" manualBreakCount="2">
    <brk id="24" max="10" man="1"/>
    <brk id="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workbookViewId="0" topLeftCell="A21">
      <selection activeCell="A5" sqref="A5"/>
    </sheetView>
  </sheetViews>
  <sheetFormatPr defaultColWidth="9.140625" defaultRowHeight="12.75"/>
  <cols>
    <col min="1" max="1" width="78.421875" style="47" customWidth="1"/>
    <col min="2" max="2" width="23.28125" style="47" customWidth="1"/>
    <col min="3" max="3" width="25.7109375" style="179" customWidth="1"/>
    <col min="4" max="4" width="25.7109375" style="59" customWidth="1"/>
    <col min="5" max="5" width="8.8515625" style="47" customWidth="1"/>
    <col min="6" max="6" width="12.28125" style="47" customWidth="1"/>
    <col min="7" max="7" width="15.421875" style="47" customWidth="1"/>
    <col min="8" max="9" width="9.140625" style="47" customWidth="1"/>
    <col min="10" max="10" width="15.7109375" style="47" customWidth="1"/>
    <col min="11" max="16384" width="9.140625" style="47" customWidth="1"/>
  </cols>
  <sheetData>
    <row r="1" spans="2:13" s="12" customFormat="1" ht="19.5">
      <c r="B1" s="325" t="s">
        <v>110</v>
      </c>
      <c r="C1" s="330"/>
      <c r="D1" s="130"/>
      <c r="E1" s="130"/>
      <c r="F1" s="13"/>
      <c r="G1" s="13"/>
      <c r="H1" s="13"/>
      <c r="I1" s="13"/>
      <c r="J1" s="13"/>
      <c r="K1" s="13"/>
      <c r="M1" s="13"/>
    </row>
    <row r="2" spans="2:13" s="12" customFormat="1" ht="19.5">
      <c r="B2" s="325" t="s">
        <v>105</v>
      </c>
      <c r="C2" s="330"/>
      <c r="D2" s="130"/>
      <c r="E2" s="130"/>
      <c r="F2" s="13"/>
      <c r="G2" s="13"/>
      <c r="H2" s="13"/>
      <c r="I2" s="13"/>
      <c r="J2" s="13"/>
      <c r="K2" s="13"/>
      <c r="M2" s="13"/>
    </row>
    <row r="3" spans="2:13" s="12" customFormat="1" ht="19.5">
      <c r="B3" s="325" t="s">
        <v>104</v>
      </c>
      <c r="C3" s="330"/>
      <c r="D3" s="130"/>
      <c r="E3" s="130"/>
      <c r="F3" s="13"/>
      <c r="G3" s="13"/>
      <c r="H3" s="13"/>
      <c r="I3" s="13"/>
      <c r="J3" s="13"/>
      <c r="K3" s="13"/>
      <c r="M3" s="13"/>
    </row>
    <row r="4" spans="2:13" s="12" customFormat="1" ht="19.5">
      <c r="B4" s="327" t="s">
        <v>150</v>
      </c>
      <c r="C4" s="330"/>
      <c r="D4" s="130"/>
      <c r="E4" s="130"/>
      <c r="F4" s="13"/>
      <c r="G4" s="13"/>
      <c r="H4" s="13"/>
      <c r="I4" s="13"/>
      <c r="J4" s="13"/>
      <c r="K4" s="13"/>
      <c r="M4" s="13"/>
    </row>
    <row r="5" spans="3:13" s="12" customFormat="1" ht="18.75">
      <c r="C5" s="14"/>
      <c r="D5" s="58"/>
      <c r="E5" s="13"/>
      <c r="F5" s="13"/>
      <c r="G5" s="13"/>
      <c r="H5" s="13"/>
      <c r="I5" s="13"/>
      <c r="J5" s="13"/>
      <c r="K5" s="13"/>
      <c r="M5" s="13"/>
    </row>
    <row r="6" ht="26.25" customHeight="1">
      <c r="C6" s="47"/>
    </row>
    <row r="7" spans="1:4" s="61" customFormat="1" ht="18.75">
      <c r="A7" s="288" t="s">
        <v>153</v>
      </c>
      <c r="B7" s="288"/>
      <c r="C7" s="288"/>
      <c r="D7" s="60"/>
    </row>
    <row r="8" spans="1:4" s="61" customFormat="1" ht="18.75">
      <c r="A8" s="288" t="s">
        <v>177</v>
      </c>
      <c r="B8" s="288"/>
      <c r="C8" s="288"/>
      <c r="D8" s="60"/>
    </row>
    <row r="9" spans="1:4" s="61" customFormat="1" ht="18.75">
      <c r="A9" s="288" t="s">
        <v>154</v>
      </c>
      <c r="B9" s="288"/>
      <c r="C9" s="288"/>
      <c r="D9" s="60"/>
    </row>
    <row r="10" ht="12.75">
      <c r="C10" s="47"/>
    </row>
    <row r="11" spans="1:4" s="61" customFormat="1" ht="75">
      <c r="A11" s="46" t="s">
        <v>3</v>
      </c>
      <c r="B11" s="46" t="s">
        <v>4</v>
      </c>
      <c r="C11" s="46" t="s">
        <v>53</v>
      </c>
      <c r="D11" s="62"/>
    </row>
    <row r="12" spans="1:4" s="61" customFormat="1" ht="35.25" customHeight="1">
      <c r="A12" s="63" t="s">
        <v>37</v>
      </c>
      <c r="B12" s="289" t="s">
        <v>44</v>
      </c>
      <c r="C12" s="291">
        <v>25</v>
      </c>
      <c r="D12" s="51"/>
    </row>
    <row r="13" spans="1:4" s="61" customFormat="1" ht="18.75">
      <c r="A13" s="64" t="s">
        <v>155</v>
      </c>
      <c r="B13" s="290"/>
      <c r="C13" s="292"/>
      <c r="D13" s="51"/>
    </row>
    <row r="14" spans="1:4" s="61" customFormat="1" ht="18.75">
      <c r="A14" s="66" t="s">
        <v>156</v>
      </c>
      <c r="B14" s="43" t="s">
        <v>5</v>
      </c>
      <c r="C14" s="255">
        <f>92648.4/1000</f>
        <v>92.6484</v>
      </c>
      <c r="D14" s="52"/>
    </row>
    <row r="15" spans="1:4" s="61" customFormat="1" ht="37.5">
      <c r="A15" s="67" t="s">
        <v>157</v>
      </c>
      <c r="B15" s="43" t="s">
        <v>5</v>
      </c>
      <c r="C15" s="255">
        <f>81285.3/1000</f>
        <v>81.2853</v>
      </c>
      <c r="D15" s="52"/>
    </row>
    <row r="16" spans="1:4" s="61" customFormat="1" ht="37.5">
      <c r="A16" s="3" t="s">
        <v>6</v>
      </c>
      <c r="B16" s="289" t="s">
        <v>7</v>
      </c>
      <c r="C16" s="281">
        <v>100</v>
      </c>
      <c r="D16" s="53"/>
    </row>
    <row r="17" spans="1:4" s="61" customFormat="1" ht="37.5">
      <c r="A17" s="2" t="s">
        <v>158</v>
      </c>
      <c r="B17" s="290"/>
      <c r="C17" s="282"/>
      <c r="D17" s="53"/>
    </row>
    <row r="18" spans="1:4" s="61" customFormat="1" ht="37.5">
      <c r="A18" s="68" t="s">
        <v>159</v>
      </c>
      <c r="B18" s="43" t="s">
        <v>7</v>
      </c>
      <c r="C18" s="27">
        <f>25/2465*100</f>
        <v>1.01</v>
      </c>
      <c r="D18" s="53"/>
    </row>
    <row r="19" spans="1:4" s="61" customFormat="1" ht="56.25">
      <c r="A19" s="68" t="s">
        <v>172</v>
      </c>
      <c r="B19" s="43" t="s">
        <v>7</v>
      </c>
      <c r="C19" s="27">
        <f>25/2465*100</f>
        <v>1.01</v>
      </c>
      <c r="D19" s="53"/>
    </row>
    <row r="20" spans="1:5" s="61" customFormat="1" ht="75">
      <c r="A20" s="67" t="s">
        <v>38</v>
      </c>
      <c r="B20" s="43" t="s">
        <v>7</v>
      </c>
      <c r="C20" s="27">
        <f>(25-3)/2465*100</f>
        <v>0.89</v>
      </c>
      <c r="D20" s="52"/>
      <c r="E20" s="53"/>
    </row>
    <row r="21" spans="1:4" s="61" customFormat="1" ht="72.75" customHeight="1">
      <c r="A21" s="3" t="s">
        <v>39</v>
      </c>
      <c r="B21" s="289" t="s">
        <v>7</v>
      </c>
      <c r="C21" s="281">
        <f>13/25*100</f>
        <v>52</v>
      </c>
      <c r="D21" s="69"/>
    </row>
    <row r="22" spans="1:4" s="61" customFormat="1" ht="37.5">
      <c r="A22" s="2" t="s">
        <v>160</v>
      </c>
      <c r="B22" s="290"/>
      <c r="C22" s="282"/>
      <c r="D22" s="53"/>
    </row>
    <row r="23" spans="1:4" s="61" customFormat="1" ht="56.25">
      <c r="A23" s="67" t="s">
        <v>161</v>
      </c>
      <c r="B23" s="43" t="s">
        <v>7</v>
      </c>
      <c r="C23" s="27">
        <f>13/25*100</f>
        <v>52</v>
      </c>
      <c r="D23" s="53"/>
    </row>
    <row r="24" spans="1:5" s="61" customFormat="1" ht="36" customHeight="1">
      <c r="A24" s="3" t="s">
        <v>40</v>
      </c>
      <c r="B24" s="289" t="s">
        <v>8</v>
      </c>
      <c r="C24" s="285">
        <f>C26+C28+C29</f>
        <v>304.61559721</v>
      </c>
      <c r="D24" s="53"/>
      <c r="E24" s="70"/>
    </row>
    <row r="25" spans="1:4" s="61" customFormat="1" ht="18.75">
      <c r="A25" s="2" t="s">
        <v>162</v>
      </c>
      <c r="B25" s="290"/>
      <c r="C25" s="329"/>
      <c r="D25" s="53"/>
    </row>
    <row r="26" spans="1:4" s="61" customFormat="1" ht="18.75">
      <c r="A26" s="3" t="s">
        <v>163</v>
      </c>
      <c r="B26" s="289" t="s">
        <v>8</v>
      </c>
      <c r="C26" s="285">
        <f>250542330.47/1000000</f>
        <v>250.54233047</v>
      </c>
      <c r="D26" s="53"/>
    </row>
    <row r="27" spans="1:4" s="61" customFormat="1" ht="18.75">
      <c r="A27" s="2" t="s">
        <v>164</v>
      </c>
      <c r="B27" s="290"/>
      <c r="C27" s="329"/>
      <c r="D27" s="53"/>
    </row>
    <row r="28" spans="1:4" s="61" customFormat="1" ht="37.5">
      <c r="A28" s="2" t="s">
        <v>165</v>
      </c>
      <c r="B28" s="43" t="s">
        <v>8</v>
      </c>
      <c r="C28" s="256">
        <f>(12576433.91+8383547.81)/1000000</f>
        <v>20.95998172</v>
      </c>
      <c r="D28" s="53"/>
    </row>
    <row r="29" spans="1:5" s="61" customFormat="1" ht="56.25">
      <c r="A29" s="68" t="s">
        <v>166</v>
      </c>
      <c r="B29" s="43" t="s">
        <v>8</v>
      </c>
      <c r="C29" s="256">
        <f>33113285.02/1000000</f>
        <v>33.11328502</v>
      </c>
      <c r="D29" s="53"/>
      <c r="E29" s="71"/>
    </row>
    <row r="30" spans="1:6" s="61" customFormat="1" ht="37.5">
      <c r="A30" s="68" t="s">
        <v>41</v>
      </c>
      <c r="B30" s="43" t="s">
        <v>9</v>
      </c>
      <c r="C30" s="257">
        <f>304615597.21/104818.4/1000</f>
        <v>2.90613</v>
      </c>
      <c r="D30" s="72"/>
      <c r="E30" s="73"/>
      <c r="F30" s="73"/>
    </row>
    <row r="31" spans="1:10" s="61" customFormat="1" ht="37.5">
      <c r="A31" s="3" t="s">
        <v>42</v>
      </c>
      <c r="B31" s="43" t="s">
        <v>44</v>
      </c>
      <c r="C31" s="43">
        <v>49</v>
      </c>
      <c r="D31" s="69"/>
      <c r="E31" s="73"/>
      <c r="F31" s="73"/>
      <c r="J31" s="70"/>
    </row>
    <row r="32" spans="1:10" s="61" customFormat="1" ht="18.75">
      <c r="A32" s="74" t="s">
        <v>167</v>
      </c>
      <c r="B32" s="48" t="s">
        <v>64</v>
      </c>
      <c r="C32" s="55">
        <f>C31/2465*100</f>
        <v>1.99</v>
      </c>
      <c r="D32" s="69"/>
      <c r="J32" s="75"/>
    </row>
    <row r="33" spans="1:10" s="61" customFormat="1" ht="18.75">
      <c r="A33" s="283" t="s">
        <v>168</v>
      </c>
      <c r="B33" s="65" t="s">
        <v>65</v>
      </c>
      <c r="C33" s="48">
        <v>49</v>
      </c>
      <c r="D33" s="69"/>
      <c r="J33" s="75"/>
    </row>
    <row r="34" spans="1:4" s="61" customFormat="1" ht="20.25" customHeight="1">
      <c r="A34" s="284"/>
      <c r="B34" s="43" t="s">
        <v>64</v>
      </c>
      <c r="C34" s="27">
        <f>C33/2465*100</f>
        <v>1.99</v>
      </c>
      <c r="D34" s="51"/>
    </row>
    <row r="35" spans="1:4" s="61" customFormat="1" ht="56.25">
      <c r="A35" s="76" t="s">
        <v>43</v>
      </c>
      <c r="B35" s="289" t="s">
        <v>7</v>
      </c>
      <c r="C35" s="281">
        <f>C26/990.019631*100</f>
        <v>25.31</v>
      </c>
      <c r="D35" s="51"/>
    </row>
    <row r="36" spans="1:4" s="61" customFormat="1" ht="18.75">
      <c r="A36" s="74" t="s">
        <v>169</v>
      </c>
      <c r="B36" s="290"/>
      <c r="C36" s="282"/>
      <c r="D36" s="51"/>
    </row>
    <row r="37" spans="1:4" s="61" customFormat="1" ht="18.75">
      <c r="A37" s="82" t="s">
        <v>170</v>
      </c>
      <c r="B37" s="43" t="s">
        <v>7</v>
      </c>
      <c r="C37" s="27">
        <f>C26/990.019631*100</f>
        <v>25.31</v>
      </c>
      <c r="D37" s="51"/>
    </row>
    <row r="38" spans="1:4" s="61" customFormat="1" ht="18.75">
      <c r="A38" s="242"/>
      <c r="B38" s="28"/>
      <c r="C38" s="243"/>
      <c r="D38" s="51"/>
    </row>
    <row r="39" spans="1:4" s="61" customFormat="1" ht="18.75">
      <c r="A39" s="83"/>
      <c r="B39" s="28"/>
      <c r="C39" s="28"/>
      <c r="D39" s="51"/>
    </row>
    <row r="40" spans="1:4" s="61" customFormat="1" ht="38.25" customHeight="1">
      <c r="A40" s="233" t="s">
        <v>143</v>
      </c>
      <c r="B40" s="234"/>
      <c r="C40" s="236" t="s">
        <v>147</v>
      </c>
      <c r="D40" s="51"/>
    </row>
  </sheetData>
  <mergeCells count="20">
    <mergeCell ref="B1:C1"/>
    <mergeCell ref="B2:C2"/>
    <mergeCell ref="B3:C3"/>
    <mergeCell ref="B4:C4"/>
    <mergeCell ref="A33:A34"/>
    <mergeCell ref="B24:B25"/>
    <mergeCell ref="C24:C25"/>
    <mergeCell ref="B35:B36"/>
    <mergeCell ref="C35:C36"/>
    <mergeCell ref="B26:B27"/>
    <mergeCell ref="C26:C27"/>
    <mergeCell ref="B16:B17"/>
    <mergeCell ref="C16:C17"/>
    <mergeCell ref="B21:B22"/>
    <mergeCell ref="C21:C22"/>
    <mergeCell ref="A8:C8"/>
    <mergeCell ref="A9:C9"/>
    <mergeCell ref="A7:C7"/>
    <mergeCell ref="B12:B13"/>
    <mergeCell ref="C12:C13"/>
  </mergeCells>
  <printOptions horizontalCentered="1"/>
  <pageMargins left="0.7874015748031497" right="0.2362204724409449" top="0.59" bottom="0.44" header="0.42" footer="0.34"/>
  <pageSetup horizontalDpi="600" verticalDpi="600" orientation="landscape" paperSize="9" r:id="rId1"/>
  <headerFooter alignWithMargins="0">
    <oddHeader>&amp;C3</oddHeader>
  </headerFooter>
  <rowBreaks count="1" manualBreakCount="1">
    <brk id="1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SheetLayoutView="100" workbookViewId="0" topLeftCell="G9">
      <selection activeCell="J24" sqref="J24"/>
    </sheetView>
  </sheetViews>
  <sheetFormatPr defaultColWidth="9.140625" defaultRowHeight="12.75"/>
  <cols>
    <col min="1" max="1" width="0" style="134" hidden="1" customWidth="1"/>
    <col min="2" max="2" width="9.57421875" style="134" hidden="1" customWidth="1"/>
    <col min="3" max="3" width="4.421875" style="146" hidden="1" customWidth="1"/>
    <col min="4" max="4" width="3.8515625" style="134" customWidth="1"/>
    <col min="5" max="5" width="39.57421875" style="134" customWidth="1"/>
    <col min="6" max="6" width="15.8515625" style="134" hidden="1" customWidth="1"/>
    <col min="7" max="7" width="14.28125" style="134" customWidth="1"/>
    <col min="8" max="8" width="16.421875" style="134" customWidth="1"/>
    <col min="9" max="9" width="9.28125" style="134" customWidth="1"/>
    <col min="10" max="10" width="16.421875" style="134" customWidth="1"/>
    <col min="11" max="11" width="5.28125" style="134" customWidth="1"/>
    <col min="12" max="12" width="17.140625" style="134" customWidth="1"/>
    <col min="13" max="13" width="8.57421875" style="134" customWidth="1"/>
    <col min="14" max="14" width="13.421875" style="134" customWidth="1"/>
    <col min="15" max="15" width="9.140625" style="134" customWidth="1"/>
    <col min="16" max="16" width="16.28125" style="134" customWidth="1"/>
    <col min="17" max="18" width="10.8515625" style="134" customWidth="1"/>
    <col min="19" max="19" width="14.421875" style="134" customWidth="1"/>
    <col min="20" max="20" width="13.7109375" style="147" customWidth="1"/>
    <col min="21" max="21" width="14.8515625" style="134" customWidth="1"/>
    <col min="22" max="16384" width="9.00390625" style="134" customWidth="1"/>
  </cols>
  <sheetData>
    <row r="1" spans="8:20" s="12" customFormat="1" ht="19.5">
      <c r="H1" s="14"/>
      <c r="I1" s="57"/>
      <c r="J1" s="57"/>
      <c r="K1" s="57"/>
      <c r="L1" s="57"/>
      <c r="M1" s="57"/>
      <c r="N1" s="57"/>
      <c r="O1" s="57"/>
      <c r="P1" s="325" t="s">
        <v>111</v>
      </c>
      <c r="Q1" s="357"/>
      <c r="R1" s="357"/>
      <c r="S1" s="357"/>
      <c r="T1" s="357"/>
    </row>
    <row r="2" spans="8:20" s="12" customFormat="1" ht="19.5">
      <c r="H2" s="14"/>
      <c r="I2" s="57"/>
      <c r="J2" s="57"/>
      <c r="K2" s="57"/>
      <c r="L2" s="57"/>
      <c r="M2" s="57"/>
      <c r="N2" s="57"/>
      <c r="O2" s="57"/>
      <c r="P2" s="325" t="s">
        <v>107</v>
      </c>
      <c r="Q2" s="357"/>
      <c r="R2" s="357"/>
      <c r="S2" s="357"/>
      <c r="T2" s="357"/>
    </row>
    <row r="3" spans="8:20" s="12" customFormat="1" ht="19.5">
      <c r="H3" s="14"/>
      <c r="I3" s="57"/>
      <c r="J3" s="57"/>
      <c r="K3" s="57"/>
      <c r="L3" s="57"/>
      <c r="M3" s="57"/>
      <c r="N3" s="57"/>
      <c r="O3" s="57"/>
      <c r="P3" s="325" t="s">
        <v>108</v>
      </c>
      <c r="Q3" s="357"/>
      <c r="R3" s="357"/>
      <c r="S3" s="357"/>
      <c r="T3" s="357"/>
    </row>
    <row r="4" spans="8:20" s="12" customFormat="1" ht="19.5">
      <c r="H4" s="14"/>
      <c r="I4" s="57"/>
      <c r="J4" s="57"/>
      <c r="K4" s="57"/>
      <c r="L4" s="57"/>
      <c r="M4" s="57"/>
      <c r="N4" s="57"/>
      <c r="O4" s="57"/>
      <c r="P4" s="327" t="s">
        <v>151</v>
      </c>
      <c r="Q4" s="358"/>
      <c r="R4" s="358"/>
      <c r="S4" s="358"/>
      <c r="T4" s="358"/>
    </row>
    <row r="5" spans="8:20" s="12" customFormat="1" ht="18.75">
      <c r="H5" s="14"/>
      <c r="I5" s="57"/>
      <c r="J5" s="57"/>
      <c r="K5" s="57"/>
      <c r="L5" s="57"/>
      <c r="M5" s="57"/>
      <c r="N5" s="57"/>
      <c r="O5" s="57"/>
      <c r="Q5" s="57"/>
      <c r="S5" s="14"/>
      <c r="T5" s="88"/>
    </row>
    <row r="6" spans="3:20" s="143" customFormat="1" ht="50.25" customHeight="1">
      <c r="C6" s="144"/>
      <c r="D6" s="337" t="s">
        <v>178</v>
      </c>
      <c r="E6" s="337"/>
      <c r="F6" s="337"/>
      <c r="G6" s="337"/>
      <c r="H6" s="338"/>
      <c r="I6" s="338"/>
      <c r="J6" s="338"/>
      <c r="K6" s="338"/>
      <c r="L6" s="338"/>
      <c r="M6" s="338"/>
      <c r="N6" s="338"/>
      <c r="O6" s="338"/>
      <c r="P6" s="338"/>
      <c r="Q6" s="337"/>
      <c r="R6" s="339"/>
      <c r="S6" s="339"/>
      <c r="T6" s="145"/>
    </row>
    <row r="7" spans="4:19" ht="15" customHeight="1">
      <c r="D7" s="323" t="s">
        <v>0</v>
      </c>
      <c r="E7" s="331" t="s">
        <v>119</v>
      </c>
      <c r="F7" s="184"/>
      <c r="G7" s="340" t="s">
        <v>47</v>
      </c>
      <c r="H7" s="341"/>
      <c r="I7" s="341"/>
      <c r="J7" s="341"/>
      <c r="K7" s="341"/>
      <c r="L7" s="341"/>
      <c r="M7" s="341"/>
      <c r="N7" s="341"/>
      <c r="O7" s="341"/>
      <c r="P7" s="342"/>
      <c r="Q7" s="301" t="s">
        <v>145</v>
      </c>
      <c r="R7" s="301" t="s">
        <v>146</v>
      </c>
      <c r="S7" s="343" t="s">
        <v>118</v>
      </c>
    </row>
    <row r="8" spans="4:19" ht="15" customHeight="1">
      <c r="D8" s="323"/>
      <c r="E8" s="332"/>
      <c r="F8" s="209"/>
      <c r="G8" s="346" t="s">
        <v>115</v>
      </c>
      <c r="H8" s="348" t="s">
        <v>48</v>
      </c>
      <c r="I8" s="349"/>
      <c r="J8" s="350"/>
      <c r="K8" s="350"/>
      <c r="L8" s="350"/>
      <c r="M8" s="350"/>
      <c r="N8" s="350"/>
      <c r="O8" s="350"/>
      <c r="P8" s="351"/>
      <c r="Q8" s="301"/>
      <c r="R8" s="301"/>
      <c r="S8" s="344"/>
    </row>
    <row r="9" spans="1:19" ht="168" customHeight="1">
      <c r="A9" s="148" t="s">
        <v>113</v>
      </c>
      <c r="B9" s="148" t="s">
        <v>112</v>
      </c>
      <c r="D9" s="323"/>
      <c r="E9" s="332"/>
      <c r="F9" s="217"/>
      <c r="G9" s="347"/>
      <c r="H9" s="139" t="s">
        <v>114</v>
      </c>
      <c r="I9" s="352" t="s">
        <v>45</v>
      </c>
      <c r="J9" s="353"/>
      <c r="K9" s="352" t="s">
        <v>117</v>
      </c>
      <c r="L9" s="353"/>
      <c r="M9" s="352" t="s">
        <v>116</v>
      </c>
      <c r="N9" s="354"/>
      <c r="O9" s="355" t="s">
        <v>49</v>
      </c>
      <c r="P9" s="356"/>
      <c r="Q9" s="301"/>
      <c r="R9" s="301"/>
      <c r="S9" s="344"/>
    </row>
    <row r="10" spans="4:19" ht="15.75">
      <c r="D10" s="323"/>
      <c r="E10" s="333"/>
      <c r="F10" s="210"/>
      <c r="G10" s="124" t="s">
        <v>139</v>
      </c>
      <c r="H10" s="111" t="s">
        <v>139</v>
      </c>
      <c r="I10" s="111" t="s">
        <v>50</v>
      </c>
      <c r="J10" s="111" t="s">
        <v>139</v>
      </c>
      <c r="K10" s="111" t="s">
        <v>51</v>
      </c>
      <c r="L10" s="111" t="s">
        <v>139</v>
      </c>
      <c r="M10" s="111" t="s">
        <v>50</v>
      </c>
      <c r="N10" s="39" t="s">
        <v>139</v>
      </c>
      <c r="O10" s="39" t="s">
        <v>50</v>
      </c>
      <c r="P10" s="39" t="s">
        <v>139</v>
      </c>
      <c r="Q10" s="39" t="s">
        <v>140</v>
      </c>
      <c r="R10" s="39" t="s">
        <v>140</v>
      </c>
      <c r="S10" s="345"/>
    </row>
    <row r="11" spans="4:21" ht="13.5" customHeight="1">
      <c r="D11" s="323"/>
      <c r="E11" s="4">
        <v>1</v>
      </c>
      <c r="F11" s="115"/>
      <c r="G11" s="115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149" t="s">
        <v>94</v>
      </c>
      <c r="U11" s="150" t="s">
        <v>93</v>
      </c>
    </row>
    <row r="12" spans="1:21" ht="17.25" customHeight="1">
      <c r="A12" s="133">
        <f>B12-G12</f>
        <v>-20326127</v>
      </c>
      <c r="B12" s="134">
        <v>20200</v>
      </c>
      <c r="C12" s="37">
        <v>5</v>
      </c>
      <c r="D12" s="132">
        <v>1</v>
      </c>
      <c r="E12" s="6" t="s">
        <v>91</v>
      </c>
      <c r="F12" s="211">
        <f>SUM(H12+J12+L12+N12+P12)</f>
        <v>20346327.02</v>
      </c>
      <c r="G12" s="215">
        <f aca="true" t="shared" si="0" ref="G12:G17">H12+J12+L12+N12+P12</f>
        <v>20346327.02</v>
      </c>
      <c r="H12" s="185">
        <f>4191793.16-4130</f>
        <v>4187663.16</v>
      </c>
      <c r="I12" s="223">
        <v>195</v>
      </c>
      <c r="J12" s="185">
        <f>3535152.35-15463.9</f>
        <v>3519688.45</v>
      </c>
      <c r="K12" s="41"/>
      <c r="L12" s="226"/>
      <c r="M12" s="240">
        <v>408</v>
      </c>
      <c r="N12" s="185">
        <v>810126.94</v>
      </c>
      <c r="O12" s="240">
        <v>3764</v>
      </c>
      <c r="P12" s="185">
        <f>11886474.95-57626.48</f>
        <v>11828848.47</v>
      </c>
      <c r="Q12" s="212">
        <v>5091.25</v>
      </c>
      <c r="R12" s="212">
        <v>9740</v>
      </c>
      <c r="S12" s="219">
        <f aca="true" t="shared" si="1" ref="S12:S36">SUM(G12:R12)</f>
        <v>40711852.29</v>
      </c>
      <c r="T12" s="104">
        <f>P12+N12+J12+H12+L12</f>
        <v>20346327.02</v>
      </c>
      <c r="U12" s="98">
        <v>20200</v>
      </c>
    </row>
    <row r="13" spans="1:21" ht="17.25" customHeight="1">
      <c r="A13" s="133">
        <f aca="true" t="shared" si="2" ref="A13:A36">B13-G13</f>
        <v>-6305924.5</v>
      </c>
      <c r="B13" s="134">
        <v>6400</v>
      </c>
      <c r="C13" s="37">
        <v>1</v>
      </c>
      <c r="D13" s="132">
        <v>2</v>
      </c>
      <c r="E13" s="6" t="s">
        <v>54</v>
      </c>
      <c r="F13" s="211">
        <f aca="true" t="shared" si="3" ref="F13:F36">SUM(H13+J13+L13+N13+P13)</f>
        <v>6312324.46</v>
      </c>
      <c r="G13" s="215">
        <f t="shared" si="0"/>
        <v>6312324.46</v>
      </c>
      <c r="H13" s="185">
        <f>3296200.81-39722.81</f>
        <v>3256478</v>
      </c>
      <c r="I13" s="223">
        <v>620</v>
      </c>
      <c r="J13" s="185">
        <f>3101246.96-45400.5</f>
        <v>3055846.46</v>
      </c>
      <c r="K13" s="41"/>
      <c r="L13" s="226"/>
      <c r="M13" s="240"/>
      <c r="N13" s="185"/>
      <c r="O13" s="240"/>
      <c r="P13" s="185"/>
      <c r="Q13" s="212">
        <v>2927.76</v>
      </c>
      <c r="R13" s="212">
        <v>9740</v>
      </c>
      <c r="S13" s="219">
        <f t="shared" si="1"/>
        <v>12637936.68</v>
      </c>
      <c r="T13" s="104">
        <f aca="true" t="shared" si="4" ref="T13:T36">P13+N13+J13+H13+L13</f>
        <v>6312324.46</v>
      </c>
      <c r="U13" s="98">
        <v>6400</v>
      </c>
    </row>
    <row r="14" spans="1:21" ht="17.25" customHeight="1">
      <c r="A14" s="133">
        <f t="shared" si="2"/>
        <v>-4374974.2</v>
      </c>
      <c r="B14" s="134">
        <v>1915.3</v>
      </c>
      <c r="C14" s="37">
        <v>2</v>
      </c>
      <c r="D14" s="132">
        <v>3</v>
      </c>
      <c r="E14" s="6" t="s">
        <v>55</v>
      </c>
      <c r="F14" s="211">
        <f t="shared" si="3"/>
        <v>4376889.54</v>
      </c>
      <c r="G14" s="215">
        <f t="shared" si="0"/>
        <v>4376889.54</v>
      </c>
      <c r="H14" s="185"/>
      <c r="I14" s="223">
        <v>1211</v>
      </c>
      <c r="J14" s="185">
        <f>4394089.54-17200</f>
        <v>4376889.54</v>
      </c>
      <c r="K14" s="41"/>
      <c r="L14" s="226"/>
      <c r="M14" s="240"/>
      <c r="N14" s="185"/>
      <c r="O14" s="240"/>
      <c r="P14" s="185"/>
      <c r="Q14" s="212">
        <v>938.01</v>
      </c>
      <c r="R14" s="212">
        <v>9740</v>
      </c>
      <c r="S14" s="219">
        <f t="shared" si="1"/>
        <v>8765668.09</v>
      </c>
      <c r="T14" s="104">
        <f t="shared" si="4"/>
        <v>4376889.54</v>
      </c>
      <c r="U14" s="98">
        <v>1915.3</v>
      </c>
    </row>
    <row r="15" spans="1:21" ht="17.25" customHeight="1">
      <c r="A15" s="133">
        <f t="shared" si="2"/>
        <v>-10001308.8</v>
      </c>
      <c r="B15" s="134">
        <v>11061.7</v>
      </c>
      <c r="C15" s="37">
        <v>3</v>
      </c>
      <c r="D15" s="132">
        <v>4</v>
      </c>
      <c r="E15" s="6" t="s">
        <v>56</v>
      </c>
      <c r="F15" s="211">
        <f t="shared" si="3"/>
        <v>10012370.5</v>
      </c>
      <c r="G15" s="215">
        <f t="shared" si="0"/>
        <v>10012370.5</v>
      </c>
      <c r="H15" s="185">
        <f>5964401.57-43469.31</f>
        <v>5920932.26</v>
      </c>
      <c r="I15" s="223">
        <v>613.7</v>
      </c>
      <c r="J15" s="185">
        <f>1986718.08-14518.12</f>
        <v>1972199.96</v>
      </c>
      <c r="K15" s="41"/>
      <c r="L15" s="226"/>
      <c r="M15" s="240"/>
      <c r="N15" s="185"/>
      <c r="O15" s="240">
        <v>2970</v>
      </c>
      <c r="P15" s="185">
        <f>2134820.85-15582.57</f>
        <v>2119238.28</v>
      </c>
      <c r="Q15" s="212">
        <v>2404.28</v>
      </c>
      <c r="R15" s="212">
        <v>9740</v>
      </c>
      <c r="S15" s="219">
        <f t="shared" si="1"/>
        <v>20040468.98</v>
      </c>
      <c r="T15" s="104">
        <f t="shared" si="4"/>
        <v>10012370.5</v>
      </c>
      <c r="U15" s="98">
        <v>11061.7</v>
      </c>
    </row>
    <row r="16" spans="1:21" ht="17.25" customHeight="1">
      <c r="A16" s="133">
        <f t="shared" si="2"/>
        <v>-1961585</v>
      </c>
      <c r="B16" s="134">
        <v>2000</v>
      </c>
      <c r="C16" s="37">
        <v>4</v>
      </c>
      <c r="D16" s="132">
        <v>5</v>
      </c>
      <c r="E16" s="77" t="s">
        <v>57</v>
      </c>
      <c r="F16" s="211">
        <f t="shared" si="3"/>
        <v>1963585</v>
      </c>
      <c r="G16" s="215">
        <f t="shared" si="0"/>
        <v>1963585</v>
      </c>
      <c r="H16" s="185">
        <f>2000000-36415</f>
        <v>1963585</v>
      </c>
      <c r="I16" s="223"/>
      <c r="J16" s="185"/>
      <c r="K16" s="41"/>
      <c r="L16" s="226"/>
      <c r="M16" s="240"/>
      <c r="N16" s="185"/>
      <c r="O16" s="240"/>
      <c r="P16" s="185"/>
      <c r="Q16" s="212">
        <v>1496.67</v>
      </c>
      <c r="R16" s="212">
        <v>9740</v>
      </c>
      <c r="S16" s="219">
        <f t="shared" si="1"/>
        <v>3938406.67</v>
      </c>
      <c r="T16" s="104">
        <f t="shared" si="4"/>
        <v>1963585</v>
      </c>
      <c r="U16" s="98">
        <v>2000</v>
      </c>
    </row>
    <row r="17" spans="1:21" ht="17.25" customHeight="1">
      <c r="A17" s="133">
        <f t="shared" si="2"/>
        <v>-6317495.2</v>
      </c>
      <c r="B17" s="134">
        <v>7466.7</v>
      </c>
      <c r="C17" s="37">
        <v>6</v>
      </c>
      <c r="D17" s="132">
        <v>6</v>
      </c>
      <c r="E17" s="6" t="s">
        <v>58</v>
      </c>
      <c r="F17" s="211">
        <f t="shared" si="3"/>
        <v>6324961.93</v>
      </c>
      <c r="G17" s="215">
        <f t="shared" si="0"/>
        <v>6324961.93</v>
      </c>
      <c r="H17" s="185">
        <f>4032781.93-32780</f>
        <v>4000001.93</v>
      </c>
      <c r="I17" s="223">
        <v>780</v>
      </c>
      <c r="J17" s="185">
        <f>2337900-12940</f>
        <v>2324960</v>
      </c>
      <c r="K17" s="41"/>
      <c r="L17" s="226"/>
      <c r="M17" s="240"/>
      <c r="N17" s="185"/>
      <c r="O17" s="240"/>
      <c r="P17" s="185"/>
      <c r="Q17" s="212">
        <v>1200.95</v>
      </c>
      <c r="R17" s="212">
        <v>9740</v>
      </c>
      <c r="S17" s="219">
        <f t="shared" si="1"/>
        <v>12661644.81</v>
      </c>
      <c r="T17" s="104">
        <f t="shared" si="4"/>
        <v>6324961.93</v>
      </c>
      <c r="U17" s="98">
        <v>7466.7</v>
      </c>
    </row>
    <row r="18" spans="1:24" ht="17.25" customHeight="1">
      <c r="A18" s="133">
        <f t="shared" si="2"/>
        <v>-15400728.3</v>
      </c>
      <c r="B18" s="134">
        <v>14605</v>
      </c>
      <c r="C18" s="37">
        <v>7</v>
      </c>
      <c r="D18" s="132">
        <v>7</v>
      </c>
      <c r="E18" s="6" t="s">
        <v>59</v>
      </c>
      <c r="F18" s="211">
        <f t="shared" si="3"/>
        <v>15415333.32</v>
      </c>
      <c r="G18" s="215">
        <f>H18+J18+L18+N18+P18</f>
        <v>15415333.32</v>
      </c>
      <c r="H18" s="185"/>
      <c r="I18" s="223">
        <v>751.2</v>
      </c>
      <c r="J18" s="185">
        <v>4666200</v>
      </c>
      <c r="K18" s="41"/>
      <c r="L18" s="226"/>
      <c r="M18" s="240"/>
      <c r="N18" s="185"/>
      <c r="O18" s="240">
        <v>1340</v>
      </c>
      <c r="P18" s="185">
        <f>10763200.32-14067</f>
        <v>10749133.32</v>
      </c>
      <c r="Q18" s="212">
        <v>5759.6</v>
      </c>
      <c r="R18" s="212">
        <v>9740</v>
      </c>
      <c r="S18" s="219">
        <f t="shared" si="1"/>
        <v>30848257.44</v>
      </c>
      <c r="T18" s="104">
        <f t="shared" si="4"/>
        <v>15415333.32</v>
      </c>
      <c r="U18" s="98">
        <v>14605</v>
      </c>
      <c r="W18" s="85"/>
      <c r="X18" s="85"/>
    </row>
    <row r="19" spans="1:21" ht="20.25" customHeight="1">
      <c r="A19" s="133">
        <f t="shared" si="2"/>
        <v>-16478845.7</v>
      </c>
      <c r="B19" s="134">
        <v>20657.2</v>
      </c>
      <c r="C19" s="37">
        <v>8</v>
      </c>
      <c r="D19" s="132">
        <v>8</v>
      </c>
      <c r="E19" s="6" t="s">
        <v>60</v>
      </c>
      <c r="F19" s="211">
        <f t="shared" si="3"/>
        <v>16499502.94</v>
      </c>
      <c r="G19" s="215">
        <f aca="true" t="shared" si="5" ref="G19:G31">H19+J19+L19+N19+P19</f>
        <v>16499502.94</v>
      </c>
      <c r="H19" s="185">
        <v>1595855.84</v>
      </c>
      <c r="I19" s="223">
        <v>1750</v>
      </c>
      <c r="J19" s="185">
        <f>10738269.5-29987.34</f>
        <v>10708282.16</v>
      </c>
      <c r="K19" s="41"/>
      <c r="L19" s="226"/>
      <c r="M19" s="240"/>
      <c r="N19" s="185">
        <f>87592.69-933.38</f>
        <v>86659.31</v>
      </c>
      <c r="O19" s="240">
        <v>4259.3</v>
      </c>
      <c r="P19" s="185">
        <f>4108705.63</f>
        <v>4108705.63</v>
      </c>
      <c r="Q19" s="212">
        <v>2995.89</v>
      </c>
      <c r="R19" s="212">
        <v>9740</v>
      </c>
      <c r="S19" s="219">
        <f t="shared" si="1"/>
        <v>33017751.07</v>
      </c>
      <c r="T19" s="104">
        <f t="shared" si="4"/>
        <v>16499502.94</v>
      </c>
      <c r="U19" s="98">
        <v>20657.2</v>
      </c>
    </row>
    <row r="20" spans="1:24" ht="24" customHeight="1">
      <c r="A20" s="133">
        <f t="shared" si="2"/>
        <v>-10199854</v>
      </c>
      <c r="B20" s="134">
        <v>13669.2</v>
      </c>
      <c r="C20" s="37">
        <v>9</v>
      </c>
      <c r="D20" s="132">
        <v>9</v>
      </c>
      <c r="E20" s="6" t="s">
        <v>61</v>
      </c>
      <c r="F20" s="211">
        <f t="shared" si="3"/>
        <v>10213523.15</v>
      </c>
      <c r="G20" s="215">
        <f t="shared" si="5"/>
        <v>10213523.15</v>
      </c>
      <c r="H20" s="185">
        <v>2075993.55</v>
      </c>
      <c r="I20" s="223">
        <v>1182</v>
      </c>
      <c r="J20" s="185">
        <f>5480162.77-21327.32</f>
        <v>5458835.45</v>
      </c>
      <c r="K20" s="41"/>
      <c r="L20" s="226"/>
      <c r="M20" s="240">
        <v>22.7</v>
      </c>
      <c r="N20" s="185">
        <f>91116.89-933.38</f>
        <v>90183.51</v>
      </c>
      <c r="O20" s="240">
        <v>2813</v>
      </c>
      <c r="P20" s="185">
        <v>2588510.64</v>
      </c>
      <c r="Q20" s="212">
        <v>2156.35</v>
      </c>
      <c r="R20" s="212">
        <v>9740</v>
      </c>
      <c r="S20" s="219">
        <f t="shared" si="1"/>
        <v>20442960.35</v>
      </c>
      <c r="T20" s="104">
        <f t="shared" si="4"/>
        <v>10213523.15</v>
      </c>
      <c r="U20" s="98">
        <v>13669.2</v>
      </c>
      <c r="W20" s="12"/>
      <c r="X20" s="12"/>
    </row>
    <row r="21" spans="1:21" ht="17.25" customHeight="1">
      <c r="A21" s="133">
        <f t="shared" si="2"/>
        <v>-3067783.7</v>
      </c>
      <c r="B21" s="134">
        <v>4832</v>
      </c>
      <c r="C21" s="37">
        <v>20</v>
      </c>
      <c r="D21" s="132">
        <v>10</v>
      </c>
      <c r="E21" s="6" t="s">
        <v>81</v>
      </c>
      <c r="F21" s="211">
        <f t="shared" si="3"/>
        <v>3072615.67</v>
      </c>
      <c r="G21" s="215">
        <f t="shared" si="5"/>
        <v>3072615.67</v>
      </c>
      <c r="H21" s="185">
        <v>436497.24</v>
      </c>
      <c r="I21" s="223">
        <v>465</v>
      </c>
      <c r="J21" s="185">
        <f>1790534.42-9202.82</f>
        <v>1781331.6</v>
      </c>
      <c r="K21" s="41"/>
      <c r="L21" s="207"/>
      <c r="M21" s="240"/>
      <c r="N21" s="227"/>
      <c r="O21" s="240">
        <v>719</v>
      </c>
      <c r="P21" s="227">
        <v>854786.83</v>
      </c>
      <c r="Q21" s="212">
        <v>4989.18</v>
      </c>
      <c r="R21" s="212">
        <v>9740</v>
      </c>
      <c r="S21" s="219">
        <f t="shared" si="1"/>
        <v>6161144.52</v>
      </c>
      <c r="T21" s="102">
        <f t="shared" si="4"/>
        <v>3072615.67</v>
      </c>
      <c r="U21" s="99">
        <v>4832</v>
      </c>
    </row>
    <row r="22" spans="1:21" ht="32.25" customHeight="1">
      <c r="A22" s="133">
        <f t="shared" si="2"/>
        <v>-14855341.6</v>
      </c>
      <c r="B22" s="134">
        <v>15908.9</v>
      </c>
      <c r="C22" s="37">
        <v>10</v>
      </c>
      <c r="D22" s="132">
        <v>11</v>
      </c>
      <c r="E22" s="77" t="s">
        <v>62</v>
      </c>
      <c r="F22" s="211">
        <f t="shared" si="3"/>
        <v>14871250.49</v>
      </c>
      <c r="G22" s="215">
        <f t="shared" si="5"/>
        <v>14871250.49</v>
      </c>
      <c r="H22" s="227">
        <v>2993987.2</v>
      </c>
      <c r="I22" s="224">
        <v>590.7</v>
      </c>
      <c r="J22" s="227">
        <v>3544118.93</v>
      </c>
      <c r="K22" s="122">
        <v>2</v>
      </c>
      <c r="L22" s="207">
        <f>2904884*2+354000+59410.95</f>
        <v>6223178.95</v>
      </c>
      <c r="M22" s="240">
        <v>570</v>
      </c>
      <c r="N22" s="185">
        <f>365539.98-1072.62</f>
        <v>364467.36</v>
      </c>
      <c r="O22" s="240">
        <v>2658.7</v>
      </c>
      <c r="P22" s="185">
        <v>1745498.05</v>
      </c>
      <c r="Q22" s="213">
        <v>3868.91</v>
      </c>
      <c r="R22" s="213">
        <v>10930</v>
      </c>
      <c r="S22" s="220">
        <f t="shared" si="1"/>
        <v>29761121.29</v>
      </c>
      <c r="T22" s="102">
        <f t="shared" si="4"/>
        <v>14871250.49</v>
      </c>
      <c r="U22" s="99">
        <v>15908.9</v>
      </c>
    </row>
    <row r="23" spans="1:24" ht="20.25" customHeight="1">
      <c r="A23" s="133">
        <f t="shared" si="2"/>
        <v>-14958153.8</v>
      </c>
      <c r="B23" s="134">
        <v>16237.4</v>
      </c>
      <c r="C23" s="37">
        <v>11</v>
      </c>
      <c r="D23" s="132">
        <v>12</v>
      </c>
      <c r="E23" s="6" t="s">
        <v>63</v>
      </c>
      <c r="F23" s="211">
        <f t="shared" si="3"/>
        <v>14974391.16</v>
      </c>
      <c r="G23" s="215">
        <f t="shared" si="5"/>
        <v>14974391.16</v>
      </c>
      <c r="H23" s="185">
        <v>3175313.21</v>
      </c>
      <c r="I23" s="223">
        <v>631.4</v>
      </c>
      <c r="J23" s="185">
        <f>3804173.98-207691.01</f>
        <v>3596482.97</v>
      </c>
      <c r="K23" s="40">
        <v>2</v>
      </c>
      <c r="L23" s="207">
        <f>2904884*2+177000+58386.12</f>
        <v>6045154.12</v>
      </c>
      <c r="M23" s="240">
        <v>570</v>
      </c>
      <c r="N23" s="185">
        <f>413214.6-1072.62</f>
        <v>412141.98</v>
      </c>
      <c r="O23" s="240">
        <v>2338.1</v>
      </c>
      <c r="P23" s="185">
        <v>1745298.88</v>
      </c>
      <c r="Q23" s="212">
        <v>4005.39</v>
      </c>
      <c r="R23" s="212">
        <v>10930</v>
      </c>
      <c r="S23" s="219">
        <f t="shared" si="1"/>
        <v>29967259.21</v>
      </c>
      <c r="T23" s="103">
        <f t="shared" si="4"/>
        <v>14974391.16</v>
      </c>
      <c r="U23" s="100">
        <v>16237.4</v>
      </c>
      <c r="V23" s="134" t="s">
        <v>95</v>
      </c>
      <c r="W23" s="12"/>
      <c r="X23" s="12"/>
    </row>
    <row r="24" spans="1:21" ht="32.25" customHeight="1">
      <c r="A24" s="133">
        <f t="shared" si="2"/>
        <v>-13192127.9</v>
      </c>
      <c r="B24" s="134">
        <v>14933.4</v>
      </c>
      <c r="C24" s="37">
        <v>13</v>
      </c>
      <c r="D24" s="132">
        <v>13</v>
      </c>
      <c r="E24" s="6" t="s">
        <v>68</v>
      </c>
      <c r="F24" s="211">
        <f t="shared" si="3"/>
        <v>13207061.31</v>
      </c>
      <c r="G24" s="215">
        <f t="shared" si="5"/>
        <v>13207061.31</v>
      </c>
      <c r="H24" s="185">
        <v>2089254.65</v>
      </c>
      <c r="I24" s="223">
        <v>583.8</v>
      </c>
      <c r="J24" s="185">
        <f>3181660.12-174761.99</f>
        <v>3006898.13</v>
      </c>
      <c r="K24" s="40">
        <v>2</v>
      </c>
      <c r="L24" s="207">
        <f>2904884*2+59732.036</f>
        <v>5869500.04</v>
      </c>
      <c r="M24" s="240">
        <v>571</v>
      </c>
      <c r="N24" s="185">
        <f>496987.49-1072.62</f>
        <v>495914.87</v>
      </c>
      <c r="O24" s="240">
        <v>2431.3</v>
      </c>
      <c r="P24" s="185">
        <v>1745493.62</v>
      </c>
      <c r="Q24" s="212">
        <v>3499.89</v>
      </c>
      <c r="R24" s="213">
        <v>10930</v>
      </c>
      <c r="S24" s="219">
        <f t="shared" si="1"/>
        <v>26432140.61</v>
      </c>
      <c r="T24" s="103">
        <f t="shared" si="4"/>
        <v>13207061.31</v>
      </c>
      <c r="U24" s="100">
        <v>14933.4</v>
      </c>
    </row>
    <row r="25" spans="1:21" ht="32.25" customHeight="1">
      <c r="A25" s="133">
        <f t="shared" si="2"/>
        <v>-13079801.8</v>
      </c>
      <c r="B25" s="134">
        <v>15070</v>
      </c>
      <c r="C25" s="37">
        <v>14</v>
      </c>
      <c r="D25" s="132">
        <v>14</v>
      </c>
      <c r="E25" s="6" t="s">
        <v>69</v>
      </c>
      <c r="F25" s="211">
        <f t="shared" si="3"/>
        <v>13094871.79</v>
      </c>
      <c r="G25" s="215">
        <f t="shared" si="5"/>
        <v>13094871.79</v>
      </c>
      <c r="H25" s="185">
        <v>2089254.82</v>
      </c>
      <c r="I25" s="223">
        <v>621.5</v>
      </c>
      <c r="J25" s="185">
        <f>3211147.3-210463</f>
        <v>3000684.3</v>
      </c>
      <c r="K25" s="40">
        <v>2</v>
      </c>
      <c r="L25" s="207">
        <f>2904884*2+59497.69</f>
        <v>5869265.69</v>
      </c>
      <c r="M25" s="240">
        <v>570</v>
      </c>
      <c r="N25" s="185">
        <f>391246.79-1072.62</f>
        <v>390174.17</v>
      </c>
      <c r="O25" s="240">
        <v>2504.2</v>
      </c>
      <c r="P25" s="185">
        <v>1745492.81</v>
      </c>
      <c r="Q25" s="212">
        <v>3447.35</v>
      </c>
      <c r="R25" s="213">
        <v>10930</v>
      </c>
      <c r="S25" s="219">
        <f t="shared" si="1"/>
        <v>26207818.63</v>
      </c>
      <c r="T25" s="103">
        <f t="shared" si="4"/>
        <v>13094871.79</v>
      </c>
      <c r="U25" s="100">
        <v>15070</v>
      </c>
    </row>
    <row r="26" spans="1:21" ht="32.25" customHeight="1">
      <c r="A26" s="133">
        <f t="shared" si="2"/>
        <v>-14135290.5</v>
      </c>
      <c r="B26" s="134">
        <v>14714.3</v>
      </c>
      <c r="C26" s="37">
        <v>15</v>
      </c>
      <c r="D26" s="132">
        <v>15</v>
      </c>
      <c r="E26" s="112" t="s">
        <v>71</v>
      </c>
      <c r="F26" s="211">
        <f t="shared" si="3"/>
        <v>14150004.79</v>
      </c>
      <c r="G26" s="215">
        <f t="shared" si="5"/>
        <v>14150004.79</v>
      </c>
      <c r="H26" s="226">
        <v>2661371.94</v>
      </c>
      <c r="I26" s="225">
        <v>597.9</v>
      </c>
      <c r="J26" s="226">
        <v>3129443.89</v>
      </c>
      <c r="K26" s="41">
        <v>2</v>
      </c>
      <c r="L26" s="207">
        <f>2904884*2+354000+57172.607</f>
        <v>6220940.61</v>
      </c>
      <c r="M26" s="240">
        <v>568</v>
      </c>
      <c r="N26" s="226">
        <f>394511.24-1072.62</f>
        <v>393438.62</v>
      </c>
      <c r="O26" s="240">
        <v>2682.3</v>
      </c>
      <c r="P26" s="185">
        <v>1744809.73</v>
      </c>
      <c r="Q26" s="214">
        <v>3636.51</v>
      </c>
      <c r="R26" s="213">
        <v>10930</v>
      </c>
      <c r="S26" s="221">
        <f t="shared" si="1"/>
        <v>28318426.29</v>
      </c>
      <c r="T26" s="103">
        <f t="shared" si="4"/>
        <v>14150004.79</v>
      </c>
      <c r="U26" s="100">
        <v>14714.3</v>
      </c>
    </row>
    <row r="27" spans="1:21" ht="32.25" customHeight="1">
      <c r="A27" s="133">
        <f t="shared" si="2"/>
        <v>-28136017.7</v>
      </c>
      <c r="B27" s="134">
        <v>29133.6</v>
      </c>
      <c r="C27" s="37">
        <v>16</v>
      </c>
      <c r="D27" s="132">
        <v>16</v>
      </c>
      <c r="E27" s="6" t="s">
        <v>70</v>
      </c>
      <c r="F27" s="211">
        <f t="shared" si="3"/>
        <v>28165151.31</v>
      </c>
      <c r="G27" s="215">
        <f t="shared" si="5"/>
        <v>28165151.31</v>
      </c>
      <c r="H27" s="185">
        <f>5102756.98+147072.92</f>
        <v>5249829.9</v>
      </c>
      <c r="I27" s="223">
        <v>1230</v>
      </c>
      <c r="J27" s="185">
        <v>6510353.02</v>
      </c>
      <c r="K27" s="41">
        <v>4</v>
      </c>
      <c r="L27" s="207">
        <f>2904884*4+708000+114251.237</f>
        <v>12441787.24</v>
      </c>
      <c r="M27" s="240">
        <v>1810</v>
      </c>
      <c r="N27" s="185">
        <f>819938.33-2145.24</f>
        <v>817793.09</v>
      </c>
      <c r="O27" s="240">
        <v>4006</v>
      </c>
      <c r="P27" s="185">
        <v>3145388.06</v>
      </c>
      <c r="Q27" s="212">
        <v>3770.93</v>
      </c>
      <c r="R27" s="213">
        <v>10930</v>
      </c>
      <c r="S27" s="219">
        <f t="shared" si="1"/>
        <v>56352053.55</v>
      </c>
      <c r="T27" s="104">
        <f t="shared" si="4"/>
        <v>28165151.31</v>
      </c>
      <c r="U27" s="100">
        <v>29133.6</v>
      </c>
    </row>
    <row r="28" spans="1:21" ht="17.25" customHeight="1">
      <c r="A28" s="133">
        <f t="shared" si="2"/>
        <v>-14757680.5</v>
      </c>
      <c r="B28" s="134">
        <v>15458</v>
      </c>
      <c r="C28" s="37">
        <v>18</v>
      </c>
      <c r="D28" s="132">
        <v>17</v>
      </c>
      <c r="E28" s="6" t="s">
        <v>79</v>
      </c>
      <c r="F28" s="211">
        <f t="shared" si="3"/>
        <v>14773138.45</v>
      </c>
      <c r="G28" s="215">
        <f t="shared" si="5"/>
        <v>14773138.45</v>
      </c>
      <c r="H28" s="185">
        <v>2817612.89</v>
      </c>
      <c r="I28" s="223">
        <v>624.7</v>
      </c>
      <c r="J28" s="185">
        <f>3702148.36-209025</f>
        <v>3493123.36</v>
      </c>
      <c r="K28" s="41">
        <v>2</v>
      </c>
      <c r="L28" s="207">
        <f>2904884*2+354000+57215.38</f>
        <v>6220983.38</v>
      </c>
      <c r="M28" s="240">
        <v>571</v>
      </c>
      <c r="N28" s="185">
        <f>497669.43-1072.62</f>
        <v>496596.81</v>
      </c>
      <c r="O28" s="240">
        <v>2390.8</v>
      </c>
      <c r="P28" s="185">
        <v>1744822.01</v>
      </c>
      <c r="Q28" s="212">
        <v>3959.28</v>
      </c>
      <c r="R28" s="213">
        <v>10930</v>
      </c>
      <c r="S28" s="219">
        <f t="shared" si="1"/>
        <v>29564754.68</v>
      </c>
      <c r="T28" s="104">
        <f t="shared" si="4"/>
        <v>14773138.45</v>
      </c>
      <c r="U28" s="100">
        <v>15458</v>
      </c>
    </row>
    <row r="29" spans="1:21" ht="17.25" customHeight="1">
      <c r="A29" s="133">
        <f t="shared" si="2"/>
        <v>-14616728.3</v>
      </c>
      <c r="B29" s="134">
        <v>15372.6</v>
      </c>
      <c r="C29" s="37">
        <v>19</v>
      </c>
      <c r="D29" s="132">
        <v>18</v>
      </c>
      <c r="E29" s="6" t="s">
        <v>80</v>
      </c>
      <c r="F29" s="211">
        <f t="shared" si="3"/>
        <v>14632100.93</v>
      </c>
      <c r="G29" s="215">
        <f t="shared" si="5"/>
        <v>14632100.93</v>
      </c>
      <c r="H29" s="185">
        <v>2773041.12</v>
      </c>
      <c r="I29" s="223">
        <v>637.3</v>
      </c>
      <c r="J29" s="185">
        <f>3597169.98-202914</f>
        <v>3394255.98</v>
      </c>
      <c r="K29" s="41">
        <v>2</v>
      </c>
      <c r="L29" s="207">
        <f>2904884*2+354000+57312.063</f>
        <v>6221080.06</v>
      </c>
      <c r="M29" s="240">
        <v>569</v>
      </c>
      <c r="N29" s="185">
        <f>499919.78-1072.62</f>
        <v>498847.16</v>
      </c>
      <c r="O29" s="240">
        <v>2356.7</v>
      </c>
      <c r="P29" s="185">
        <v>1744876.61</v>
      </c>
      <c r="Q29" s="212">
        <v>3926.46</v>
      </c>
      <c r="R29" s="213">
        <v>10930</v>
      </c>
      <c r="S29" s="219">
        <f t="shared" si="1"/>
        <v>29282623.32</v>
      </c>
      <c r="T29" s="104">
        <f t="shared" si="4"/>
        <v>14632100.93</v>
      </c>
      <c r="U29" s="100">
        <v>15372.6</v>
      </c>
    </row>
    <row r="30" spans="1:21" ht="17.25" customHeight="1">
      <c r="A30" s="133">
        <f t="shared" si="2"/>
        <v>-7724090.6</v>
      </c>
      <c r="B30" s="134">
        <v>8150.8</v>
      </c>
      <c r="C30" s="37">
        <v>21</v>
      </c>
      <c r="D30" s="132">
        <v>19</v>
      </c>
      <c r="E30" s="6" t="s">
        <v>67</v>
      </c>
      <c r="F30" s="211">
        <f t="shared" si="3"/>
        <v>7732241.42</v>
      </c>
      <c r="G30" s="215">
        <f t="shared" si="5"/>
        <v>7732241.42</v>
      </c>
      <c r="H30" s="185">
        <v>2567691.85</v>
      </c>
      <c r="I30" s="223">
        <v>619.8</v>
      </c>
      <c r="J30" s="185">
        <f>3182152.85-228757</f>
        <v>2953395.85</v>
      </c>
      <c r="K30" s="41"/>
      <c r="L30" s="207"/>
      <c r="M30" s="240">
        <v>571</v>
      </c>
      <c r="N30" s="185">
        <f>468565.58-1072.62</f>
        <v>467492.96</v>
      </c>
      <c r="O30" s="240">
        <v>2638.4</v>
      </c>
      <c r="P30" s="185">
        <v>1743660.76</v>
      </c>
      <c r="Q30" s="212">
        <v>2075.35</v>
      </c>
      <c r="R30" s="212">
        <v>9740</v>
      </c>
      <c r="S30" s="219">
        <f t="shared" si="1"/>
        <v>15480127.39</v>
      </c>
      <c r="T30" s="104">
        <f t="shared" si="4"/>
        <v>7732241.42</v>
      </c>
      <c r="U30" s="100">
        <v>8150.8</v>
      </c>
    </row>
    <row r="31" spans="1:24" ht="20.25" customHeight="1">
      <c r="A31" s="133">
        <f t="shared" si="2"/>
        <v>-12052730.9</v>
      </c>
      <c r="B31" s="134">
        <v>16351.7</v>
      </c>
      <c r="C31" s="37">
        <v>17</v>
      </c>
      <c r="D31" s="132">
        <v>20</v>
      </c>
      <c r="E31" s="6" t="s">
        <v>72</v>
      </c>
      <c r="F31" s="211">
        <f t="shared" si="3"/>
        <v>12069082.56</v>
      </c>
      <c r="G31" s="215">
        <f t="shared" si="5"/>
        <v>12069082.56</v>
      </c>
      <c r="H31" s="185">
        <v>1991605.57</v>
      </c>
      <c r="I31" s="223">
        <v>1483</v>
      </c>
      <c r="J31" s="185">
        <f>6812026.21-22506.14</f>
        <v>6789520.07</v>
      </c>
      <c r="K31" s="41"/>
      <c r="L31" s="226"/>
      <c r="M31" s="240">
        <v>189.4</v>
      </c>
      <c r="N31" s="185">
        <v>127431.63</v>
      </c>
      <c r="O31" s="240">
        <v>3465</v>
      </c>
      <c r="P31" s="185">
        <v>3160525.29</v>
      </c>
      <c r="Q31" s="212">
        <v>2905.17</v>
      </c>
      <c r="R31" s="212">
        <v>9740</v>
      </c>
      <c r="S31" s="219">
        <f t="shared" si="1"/>
        <v>24155947.69</v>
      </c>
      <c r="T31" s="104">
        <f t="shared" si="4"/>
        <v>12069082.56</v>
      </c>
      <c r="U31" s="100">
        <v>16351.7</v>
      </c>
      <c r="W31" s="12"/>
      <c r="X31" s="12"/>
    </row>
    <row r="32" spans="1:21" ht="17.25" customHeight="1">
      <c r="A32" s="133">
        <f t="shared" si="2"/>
        <v>6440.9</v>
      </c>
      <c r="B32" s="134">
        <v>6440.9</v>
      </c>
      <c r="C32" s="37">
        <v>26</v>
      </c>
      <c r="D32" s="132">
        <v>21</v>
      </c>
      <c r="E32" s="6" t="s">
        <v>77</v>
      </c>
      <c r="F32" s="211">
        <f t="shared" si="3"/>
        <v>5144628.11</v>
      </c>
      <c r="G32" s="216"/>
      <c r="H32" s="185">
        <v>485839.99</v>
      </c>
      <c r="I32" s="223">
        <v>442</v>
      </c>
      <c r="J32" s="185">
        <v>3320590.49</v>
      </c>
      <c r="K32" s="41"/>
      <c r="L32" s="226"/>
      <c r="M32" s="240"/>
      <c r="N32" s="185"/>
      <c r="O32" s="240">
        <v>488</v>
      </c>
      <c r="P32" s="185">
        <v>1338197.63</v>
      </c>
      <c r="Q32" s="212">
        <v>7457.06</v>
      </c>
      <c r="R32" s="212">
        <v>9740</v>
      </c>
      <c r="S32" s="222">
        <f>SUM(G32:R32)</f>
        <v>5162755.17</v>
      </c>
      <c r="T32" s="104">
        <f t="shared" si="4"/>
        <v>5144628.11</v>
      </c>
      <c r="U32" s="98">
        <v>6440.9</v>
      </c>
    </row>
    <row r="33" spans="1:21" ht="17.25" customHeight="1">
      <c r="A33" s="133">
        <f t="shared" si="2"/>
        <v>23062.7</v>
      </c>
      <c r="B33" s="134">
        <v>23062.7</v>
      </c>
      <c r="C33" s="37">
        <v>25</v>
      </c>
      <c r="D33" s="132">
        <v>22</v>
      </c>
      <c r="E33" s="6" t="s">
        <v>74</v>
      </c>
      <c r="F33" s="211">
        <f t="shared" si="3"/>
        <v>16644929.79</v>
      </c>
      <c r="G33" s="216"/>
      <c r="H33" s="185">
        <v>2556535.66</v>
      </c>
      <c r="I33" s="223">
        <v>2073</v>
      </c>
      <c r="J33" s="185">
        <v>14088394.13</v>
      </c>
      <c r="K33" s="41"/>
      <c r="L33" s="226"/>
      <c r="M33" s="240"/>
      <c r="N33" s="185"/>
      <c r="O33" s="240"/>
      <c r="P33" s="185"/>
      <c r="Q33" s="212">
        <v>2560.64</v>
      </c>
      <c r="R33" s="212">
        <v>9740</v>
      </c>
      <c r="S33" s="222">
        <f t="shared" si="1"/>
        <v>16659303.43</v>
      </c>
      <c r="T33" s="104">
        <f t="shared" si="4"/>
        <v>16644929.79</v>
      </c>
      <c r="U33" s="98">
        <v>23062.7</v>
      </c>
    </row>
    <row r="34" spans="1:21" ht="17.25" customHeight="1">
      <c r="A34" s="133">
        <f t="shared" si="2"/>
        <v>21002.5</v>
      </c>
      <c r="B34" s="134">
        <v>21002.5</v>
      </c>
      <c r="C34" s="37">
        <v>23</v>
      </c>
      <c r="D34" s="132">
        <v>23</v>
      </c>
      <c r="E34" s="6" t="s">
        <v>73</v>
      </c>
      <c r="F34" s="211">
        <f t="shared" si="3"/>
        <v>14573785.81</v>
      </c>
      <c r="G34" s="216"/>
      <c r="H34" s="185">
        <v>2389504.88</v>
      </c>
      <c r="I34" s="223">
        <v>1961</v>
      </c>
      <c r="J34" s="185">
        <v>12184280.93</v>
      </c>
      <c r="K34" s="41"/>
      <c r="L34" s="226"/>
      <c r="M34" s="240"/>
      <c r="N34" s="185"/>
      <c r="O34" s="240"/>
      <c r="P34" s="185"/>
      <c r="Q34" s="212">
        <v>2197.59</v>
      </c>
      <c r="R34" s="212">
        <v>9740</v>
      </c>
      <c r="S34" s="222">
        <f t="shared" si="1"/>
        <v>14587684.4</v>
      </c>
      <c r="T34" s="104">
        <f t="shared" si="4"/>
        <v>14573785.81</v>
      </c>
      <c r="U34" s="98">
        <v>21002.5</v>
      </c>
    </row>
    <row r="35" spans="1:21" ht="17.25" customHeight="1">
      <c r="A35" s="133">
        <f t="shared" si="2"/>
        <v>28585.2</v>
      </c>
      <c r="B35" s="134">
        <v>28585.2</v>
      </c>
      <c r="C35" s="37">
        <v>24</v>
      </c>
      <c r="D35" s="132">
        <v>24</v>
      </c>
      <c r="E35" s="6" t="s">
        <v>75</v>
      </c>
      <c r="F35" s="211">
        <f t="shared" si="3"/>
        <v>19457206.48</v>
      </c>
      <c r="G35" s="216"/>
      <c r="H35" s="185">
        <v>2448385.31</v>
      </c>
      <c r="I35" s="223">
        <v>2397</v>
      </c>
      <c r="J35" s="185">
        <v>17008821.17</v>
      </c>
      <c r="K35" s="41"/>
      <c r="L35" s="226"/>
      <c r="M35" s="240"/>
      <c r="N35" s="185"/>
      <c r="O35" s="240"/>
      <c r="P35" s="185"/>
      <c r="Q35" s="212">
        <v>2555.05</v>
      </c>
      <c r="R35" s="212">
        <v>9740</v>
      </c>
      <c r="S35" s="222">
        <f t="shared" si="1"/>
        <v>19471898.53</v>
      </c>
      <c r="T35" s="104">
        <f t="shared" si="4"/>
        <v>19457206.48</v>
      </c>
      <c r="U35" s="98">
        <v>28585.2</v>
      </c>
    </row>
    <row r="36" spans="1:21" ht="30.75" customHeight="1">
      <c r="A36" s="133">
        <f t="shared" si="2"/>
        <v>13136.3</v>
      </c>
      <c r="B36" s="134">
        <v>13136.3</v>
      </c>
      <c r="C36" s="37">
        <v>22</v>
      </c>
      <c r="D36" s="132">
        <v>25</v>
      </c>
      <c r="E36" s="6" t="s">
        <v>87</v>
      </c>
      <c r="F36" s="211">
        <f t="shared" si="3"/>
        <v>6588319.28</v>
      </c>
      <c r="G36" s="216"/>
      <c r="H36" s="185">
        <v>2179835.96</v>
      </c>
      <c r="I36" s="223">
        <v>831</v>
      </c>
      <c r="J36" s="185">
        <v>4408483.32</v>
      </c>
      <c r="K36" s="41"/>
      <c r="L36" s="226"/>
      <c r="M36" s="241"/>
      <c r="N36" s="185"/>
      <c r="O36" s="241"/>
      <c r="P36" s="185"/>
      <c r="Q36" s="212">
        <v>1218.57</v>
      </c>
      <c r="R36" s="212">
        <v>9740</v>
      </c>
      <c r="S36" s="219">
        <f t="shared" si="1"/>
        <v>6600108.85</v>
      </c>
      <c r="T36" s="104">
        <f t="shared" si="4"/>
        <v>6588319.28</v>
      </c>
      <c r="U36" s="98">
        <v>13136.3</v>
      </c>
    </row>
    <row r="37" spans="1:21" ht="35.25" customHeight="1">
      <c r="A37" s="151">
        <f>SUM(A12:A36)</f>
        <v>-241850362.4</v>
      </c>
      <c r="B37" s="151">
        <f>SUM(B12:B36)</f>
        <v>356365.4</v>
      </c>
      <c r="D37" s="38"/>
      <c r="E37" s="42" t="s">
        <v>123</v>
      </c>
      <c r="F37" s="218">
        <f aca="true" t="shared" si="6" ref="F37:U37">SUM(F12:F36)</f>
        <v>304615597.21</v>
      </c>
      <c r="G37" s="215">
        <f t="shared" si="6"/>
        <v>242206727.74</v>
      </c>
      <c r="H37" s="212">
        <f t="shared" si="6"/>
        <v>61906071.93</v>
      </c>
      <c r="I37" s="40">
        <f t="shared" si="6"/>
        <v>22892</v>
      </c>
      <c r="J37" s="212">
        <f t="shared" si="6"/>
        <v>128293080.16</v>
      </c>
      <c r="K37" s="40">
        <f t="shared" si="6"/>
        <v>18</v>
      </c>
      <c r="L37" s="212">
        <f t="shared" si="6"/>
        <v>55111890.09</v>
      </c>
      <c r="M37" s="40">
        <f t="shared" si="6"/>
        <v>6990.1</v>
      </c>
      <c r="N37" s="212">
        <f t="shared" si="6"/>
        <v>5451268.41</v>
      </c>
      <c r="O37" s="40">
        <f t="shared" si="6"/>
        <v>43824.8</v>
      </c>
      <c r="P37" s="212">
        <f>SUM(P12:P36)</f>
        <v>53853286.62</v>
      </c>
      <c r="Q37" s="212">
        <f t="shared" si="6"/>
        <v>81044.09</v>
      </c>
      <c r="R37" s="212">
        <f t="shared" si="6"/>
        <v>253020</v>
      </c>
      <c r="S37" s="212">
        <f t="shared" si="6"/>
        <v>547230113.94</v>
      </c>
      <c r="T37" s="104">
        <f t="shared" si="6"/>
        <v>304615597.21</v>
      </c>
      <c r="U37" s="98">
        <f t="shared" si="6"/>
        <v>356365.4</v>
      </c>
    </row>
    <row r="38" spans="1:21" ht="35.25" customHeight="1">
      <c r="A38" s="151"/>
      <c r="B38" s="151"/>
      <c r="D38" s="37"/>
      <c r="E38" s="163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64"/>
      <c r="Q38" s="165"/>
      <c r="R38" s="140"/>
      <c r="S38" s="165"/>
      <c r="T38" s="166"/>
      <c r="U38" s="166"/>
    </row>
    <row r="39" spans="1:21" ht="35.25" customHeight="1">
      <c r="A39" s="151"/>
      <c r="B39" s="151"/>
      <c r="D39" s="237" t="s">
        <v>143</v>
      </c>
      <c r="E39" s="235"/>
      <c r="F39" s="238"/>
      <c r="G39" s="235"/>
      <c r="H39" s="235"/>
      <c r="I39" s="239"/>
      <c r="J39" s="239"/>
      <c r="K39" s="239"/>
      <c r="L39" s="239"/>
      <c r="M39" s="239"/>
      <c r="N39" s="239"/>
      <c r="O39" s="239"/>
      <c r="P39" s="239"/>
      <c r="Q39" s="238"/>
      <c r="S39" s="236" t="s">
        <v>148</v>
      </c>
      <c r="T39" s="166"/>
      <c r="U39" s="166"/>
    </row>
    <row r="40" spans="1:21" ht="35.25" customHeight="1">
      <c r="A40" s="151"/>
      <c r="B40" s="151"/>
      <c r="D40" s="106"/>
      <c r="E40" s="56"/>
      <c r="F40" s="228"/>
      <c r="G40" s="229"/>
      <c r="H40" s="182"/>
      <c r="I40" s="87"/>
      <c r="J40" s="182"/>
      <c r="K40" s="87"/>
      <c r="L40" s="182"/>
      <c r="M40" s="87"/>
      <c r="N40" s="182"/>
      <c r="O40" s="87"/>
      <c r="P40" s="182"/>
      <c r="Q40" s="182"/>
      <c r="R40" s="182"/>
      <c r="S40" s="182"/>
      <c r="T40" s="166"/>
      <c r="U40" s="166"/>
    </row>
    <row r="41" spans="2:19" ht="15.75">
      <c r="B41" s="151">
        <f>B37-G37</f>
        <v>-241850362.3</v>
      </c>
      <c r="D41" s="334" t="s">
        <v>100</v>
      </c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6"/>
      <c r="P41" s="336"/>
      <c r="Q41" s="336"/>
      <c r="R41" s="336"/>
      <c r="S41" s="336"/>
    </row>
    <row r="42" spans="4:21" ht="13.5" customHeight="1">
      <c r="D42" s="38" t="s">
        <v>0</v>
      </c>
      <c r="E42" s="4">
        <v>1</v>
      </c>
      <c r="F42" s="115"/>
      <c r="G42" s="115">
        <v>2</v>
      </c>
      <c r="H42" s="4">
        <v>3</v>
      </c>
      <c r="I42" s="4">
        <v>4</v>
      </c>
      <c r="J42" s="4">
        <v>5</v>
      </c>
      <c r="K42" s="4">
        <v>6</v>
      </c>
      <c r="L42" s="4">
        <v>7</v>
      </c>
      <c r="M42" s="4">
        <v>8</v>
      </c>
      <c r="N42" s="4">
        <v>9</v>
      </c>
      <c r="O42" s="4">
        <v>10</v>
      </c>
      <c r="P42" s="4">
        <v>11</v>
      </c>
      <c r="Q42" s="4">
        <v>12</v>
      </c>
      <c r="R42" s="4">
        <v>13</v>
      </c>
      <c r="S42" s="4">
        <v>14</v>
      </c>
      <c r="T42" s="101" t="s">
        <v>94</v>
      </c>
      <c r="U42" s="150" t="s">
        <v>93</v>
      </c>
    </row>
    <row r="43" spans="4:21" ht="30.75" customHeight="1">
      <c r="D43" s="114">
        <v>1</v>
      </c>
      <c r="E43" s="6" t="s">
        <v>78</v>
      </c>
      <c r="F43" s="6"/>
      <c r="G43" s="40">
        <f>H43+J43+L43+N43+P43</f>
        <v>15866.8</v>
      </c>
      <c r="H43" s="40">
        <v>2656</v>
      </c>
      <c r="I43" s="40">
        <v>681</v>
      </c>
      <c r="J43" s="40">
        <v>3517.1</v>
      </c>
      <c r="K43" s="40">
        <v>2</v>
      </c>
      <c r="L43" s="40">
        <v>7397.7</v>
      </c>
      <c r="M43" s="40">
        <v>551</v>
      </c>
      <c r="N43" s="40">
        <v>543.1</v>
      </c>
      <c r="O43" s="81">
        <v>2301</v>
      </c>
      <c r="P43" s="40">
        <v>1752.9</v>
      </c>
      <c r="Q43" s="84">
        <v>4.041</v>
      </c>
      <c r="R43" s="44">
        <v>10.93</v>
      </c>
      <c r="S43" s="54">
        <f>SUM(G43:R43)</f>
        <v>35283.6</v>
      </c>
      <c r="T43" s="104">
        <f>P43+N43+J43+H43+L43</f>
        <v>15866.8</v>
      </c>
      <c r="U43" s="98"/>
    </row>
    <row r="44" spans="4:21" ht="23.25" customHeight="1">
      <c r="D44" s="126">
        <v>2</v>
      </c>
      <c r="E44" s="6" t="s">
        <v>89</v>
      </c>
      <c r="F44" s="6"/>
      <c r="G44" s="40"/>
      <c r="H44" s="40">
        <v>7640</v>
      </c>
      <c r="I44" s="40">
        <v>1439.6</v>
      </c>
      <c r="J44" s="40">
        <v>8208.5</v>
      </c>
      <c r="K44" s="40"/>
      <c r="L44" s="40"/>
      <c r="M44" s="40"/>
      <c r="N44" s="40"/>
      <c r="O44" s="81">
        <v>2120</v>
      </c>
      <c r="P44" s="40">
        <v>7440.6</v>
      </c>
      <c r="Q44" s="127">
        <v>4.652</v>
      </c>
      <c r="R44" s="44">
        <v>9.74</v>
      </c>
      <c r="S44" s="54">
        <f>SUM(G44:R44)</f>
        <v>26863.1</v>
      </c>
      <c r="T44" s="104">
        <f>P44+N44+J44+H44+L44</f>
        <v>23289.1</v>
      </c>
      <c r="U44" s="98">
        <f>SUM(U17:U43)</f>
        <v>671153.8</v>
      </c>
    </row>
    <row r="45" spans="4:20" ht="31.5">
      <c r="D45" s="38"/>
      <c r="E45" s="42" t="s">
        <v>101</v>
      </c>
      <c r="F45" s="42"/>
      <c r="G45" s="40">
        <f aca="true" t="shared" si="7" ref="G45:S45">SUM(G43:G44)</f>
        <v>15866.8</v>
      </c>
      <c r="H45" s="40">
        <f t="shared" si="7"/>
        <v>10296</v>
      </c>
      <c r="I45" s="40">
        <f t="shared" si="7"/>
        <v>2120.6</v>
      </c>
      <c r="J45" s="40">
        <f t="shared" si="7"/>
        <v>11725.6</v>
      </c>
      <c r="K45" s="40">
        <f t="shared" si="7"/>
        <v>2</v>
      </c>
      <c r="L45" s="40">
        <f t="shared" si="7"/>
        <v>7397.7</v>
      </c>
      <c r="M45" s="40">
        <f t="shared" si="7"/>
        <v>551</v>
      </c>
      <c r="N45" s="40">
        <f t="shared" si="7"/>
        <v>543.1</v>
      </c>
      <c r="O45" s="40">
        <f t="shared" si="7"/>
        <v>4421</v>
      </c>
      <c r="P45" s="40">
        <f t="shared" si="7"/>
        <v>9193.5</v>
      </c>
      <c r="Q45" s="136">
        <f t="shared" si="7"/>
        <v>8.693</v>
      </c>
      <c r="R45" s="137">
        <f t="shared" si="7"/>
        <v>20.67</v>
      </c>
      <c r="S45" s="40">
        <f t="shared" si="7"/>
        <v>62146.7</v>
      </c>
      <c r="T45" s="104">
        <f>SUM(T16:T44)</f>
        <v>568222438.8</v>
      </c>
    </row>
    <row r="46" spans="4:20" ht="27" customHeight="1">
      <c r="D46" s="37"/>
      <c r="E46" s="163"/>
      <c r="F46" s="163"/>
      <c r="G46" s="140"/>
      <c r="H46" s="140"/>
      <c r="I46" s="140"/>
      <c r="J46" s="167"/>
      <c r="K46" s="167"/>
      <c r="L46" s="167"/>
      <c r="M46" s="167"/>
      <c r="N46" s="167"/>
      <c r="O46" s="140"/>
      <c r="P46" s="140"/>
      <c r="Q46" s="164"/>
      <c r="R46" s="165"/>
      <c r="S46" s="140"/>
      <c r="T46" s="166"/>
    </row>
    <row r="47" spans="4:20" ht="15.75">
      <c r="D47" s="37"/>
      <c r="E47" s="163"/>
      <c r="F47" s="163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64"/>
      <c r="R47" s="165"/>
      <c r="S47" s="140"/>
      <c r="T47" s="166"/>
    </row>
    <row r="49" spans="4:21" ht="17.25" customHeight="1">
      <c r="D49" s="125">
        <v>3</v>
      </c>
      <c r="E49" s="6" t="s">
        <v>76</v>
      </c>
      <c r="F49" s="6"/>
      <c r="G49" s="40"/>
      <c r="H49" s="40">
        <v>1656.9</v>
      </c>
      <c r="I49" s="40">
        <v>1371</v>
      </c>
      <c r="J49" s="40">
        <v>7508.1</v>
      </c>
      <c r="K49" s="40"/>
      <c r="L49" s="40"/>
      <c r="M49" s="40"/>
      <c r="N49" s="40"/>
      <c r="O49" s="135"/>
      <c r="P49" s="40"/>
      <c r="Q49" s="136">
        <v>1.939</v>
      </c>
      <c r="R49" s="137">
        <v>9.74</v>
      </c>
      <c r="S49" s="138">
        <f>SUM(G49:R49)</f>
        <v>10547.7</v>
      </c>
      <c r="T49" s="105">
        <f>P49+N49+J49+H49+L49</f>
        <v>9165</v>
      </c>
      <c r="U49" s="133"/>
    </row>
    <row r="50" spans="4:21" ht="17.25" customHeight="1">
      <c r="D50" s="125">
        <v>4</v>
      </c>
      <c r="E50" s="6" t="s">
        <v>82</v>
      </c>
      <c r="F50" s="6"/>
      <c r="G50" s="40"/>
      <c r="H50" s="40">
        <v>982.3</v>
      </c>
      <c r="I50" s="40">
        <v>838</v>
      </c>
      <c r="J50" s="40">
        <v>6531.4</v>
      </c>
      <c r="K50" s="40"/>
      <c r="L50" s="40"/>
      <c r="M50" s="40"/>
      <c r="N50" s="40"/>
      <c r="O50" s="135">
        <v>1098</v>
      </c>
      <c r="P50" s="40">
        <v>1831.8</v>
      </c>
      <c r="Q50" s="137">
        <v>9.633</v>
      </c>
      <c r="R50" s="152">
        <v>9.74</v>
      </c>
      <c r="S50" s="138">
        <f>SUM(G50:R50)</f>
        <v>11300.9</v>
      </c>
      <c r="T50" s="105">
        <f>P50+N50+J50+H50+L50</f>
        <v>9345.5</v>
      </c>
      <c r="U50" s="133"/>
    </row>
  </sheetData>
  <mergeCells count="18">
    <mergeCell ref="P1:T1"/>
    <mergeCell ref="P2:T2"/>
    <mergeCell ref="P3:T3"/>
    <mergeCell ref="P4:T4"/>
    <mergeCell ref="I9:J9"/>
    <mergeCell ref="K9:L9"/>
    <mergeCell ref="M9:N9"/>
    <mergeCell ref="O9:P9"/>
    <mergeCell ref="E7:E10"/>
    <mergeCell ref="D7:D11"/>
    <mergeCell ref="D41:S41"/>
    <mergeCell ref="D6:S6"/>
    <mergeCell ref="G7:P7"/>
    <mergeCell ref="Q7:Q9"/>
    <mergeCell ref="R7:R9"/>
    <mergeCell ref="S7:S10"/>
    <mergeCell ref="G8:G9"/>
    <mergeCell ref="H8:P8"/>
  </mergeCells>
  <printOptions horizontalCentered="1"/>
  <pageMargins left="0.4330708661417323" right="0.15748031496062992" top="0.4330708661417323" bottom="0.1968503937007874" header="0.2362204724409449" footer="0.11811023622047245"/>
  <pageSetup horizontalDpi="600" verticalDpi="600" orientation="landscape" paperSize="9" scale="70" r:id="rId1"/>
  <headerFooter alignWithMargins="0">
    <oddHeader>&amp;C2</oddHeader>
  </headerFooter>
  <rowBreaks count="2" manualBreakCount="2">
    <brk id="31" min="3" max="18" man="1"/>
    <brk id="46" min="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9">
      <selection activeCell="F36" sqref="F36"/>
    </sheetView>
  </sheetViews>
  <sheetFormatPr defaultColWidth="9.140625" defaultRowHeight="12.75"/>
  <cols>
    <col min="1" max="1" width="5.7109375" style="168" customWidth="1"/>
    <col min="2" max="2" width="32.140625" style="168" customWidth="1"/>
    <col min="3" max="3" width="17.7109375" style="168" customWidth="1"/>
    <col min="4" max="4" width="17.28125" style="168" customWidth="1"/>
    <col min="5" max="5" width="16.28125" style="168" customWidth="1"/>
    <col min="6" max="6" width="16.57421875" style="37" customWidth="1"/>
    <col min="7" max="7" width="15.421875" style="37" hidden="1" customWidth="1"/>
    <col min="8" max="10" width="9.140625" style="168" customWidth="1"/>
    <col min="11" max="11" width="13.28125" style="168" customWidth="1"/>
    <col min="12" max="16384" width="9.140625" style="168" customWidth="1"/>
  </cols>
  <sheetData>
    <row r="1" spans="5:7" ht="19.5">
      <c r="E1" s="141" t="s">
        <v>125</v>
      </c>
      <c r="F1" s="160"/>
      <c r="G1" s="160"/>
    </row>
    <row r="2" spans="5:7" ht="19.5">
      <c r="E2" s="141" t="s">
        <v>107</v>
      </c>
      <c r="F2" s="160"/>
      <c r="G2" s="160"/>
    </row>
    <row r="3" spans="5:7" ht="19.5">
      <c r="E3" s="141" t="s">
        <v>108</v>
      </c>
      <c r="F3" s="160"/>
      <c r="G3" s="160"/>
    </row>
    <row r="4" spans="4:7" ht="19.5">
      <c r="D4" s="37"/>
      <c r="E4" s="142" t="s">
        <v>149</v>
      </c>
      <c r="F4" s="160"/>
      <c r="G4" s="160"/>
    </row>
    <row r="5" spans="4:5" ht="5.25" customHeight="1">
      <c r="D5" s="37"/>
      <c r="E5" s="37"/>
    </row>
    <row r="6" spans="1:7" s="170" customFormat="1" ht="93" customHeight="1">
      <c r="A6" s="359" t="s">
        <v>126</v>
      </c>
      <c r="B6" s="359"/>
      <c r="C6" s="359"/>
      <c r="D6" s="359"/>
      <c r="E6" s="359"/>
      <c r="F6" s="359"/>
      <c r="G6" s="174"/>
    </row>
    <row r="7" spans="1:7" s="170" customFormat="1" ht="14.25" customHeight="1">
      <c r="A7" s="174"/>
      <c r="B7" s="174"/>
      <c r="C7" s="175"/>
      <c r="D7" s="175"/>
      <c r="E7" s="169"/>
      <c r="F7" s="206" t="s">
        <v>139</v>
      </c>
      <c r="G7" s="206" t="s">
        <v>139</v>
      </c>
    </row>
    <row r="8" spans="1:7" s="172" customFormat="1" ht="97.5" customHeight="1">
      <c r="A8" s="171" t="s">
        <v>0</v>
      </c>
      <c r="B8" s="194" t="s">
        <v>1</v>
      </c>
      <c r="C8" s="195" t="s">
        <v>171</v>
      </c>
      <c r="D8" s="195" t="s">
        <v>137</v>
      </c>
      <c r="E8" s="196" t="s">
        <v>138</v>
      </c>
      <c r="F8" s="195" t="s">
        <v>124</v>
      </c>
      <c r="G8" s="195" t="s">
        <v>141</v>
      </c>
    </row>
    <row r="9" spans="1:7" s="173" customFormat="1" ht="15.75">
      <c r="A9" s="197">
        <v>1</v>
      </c>
      <c r="B9" s="198">
        <v>2</v>
      </c>
      <c r="C9" s="198">
        <v>3</v>
      </c>
      <c r="D9" s="198">
        <v>4</v>
      </c>
      <c r="E9" s="198">
        <v>5</v>
      </c>
      <c r="F9" s="198">
        <v>6</v>
      </c>
      <c r="G9" s="198">
        <v>6</v>
      </c>
    </row>
    <row r="10" spans="1:7" ht="16.5" customHeight="1">
      <c r="A10" s="201">
        <v>1</v>
      </c>
      <c r="B10" s="202" t="s">
        <v>91</v>
      </c>
      <c r="C10" s="199">
        <v>20423547.4</v>
      </c>
      <c r="D10" s="272">
        <v>20346327.02</v>
      </c>
      <c r="E10" s="199">
        <f>D10-C10</f>
        <v>-77220.38</v>
      </c>
      <c r="F10" s="200">
        <v>-72454.14</v>
      </c>
      <c r="G10" s="200">
        <v>13793.38</v>
      </c>
    </row>
    <row r="11" spans="1:7" ht="16.5" customHeight="1">
      <c r="A11" s="201">
        <v>2</v>
      </c>
      <c r="B11" s="202" t="s">
        <v>54</v>
      </c>
      <c r="C11" s="199">
        <v>6397447.77</v>
      </c>
      <c r="D11" s="272">
        <v>6312324.46</v>
      </c>
      <c r="E11" s="199">
        <f aca="true" t="shared" si="0" ref="E11:E34">D11-C11</f>
        <v>-85123.31</v>
      </c>
      <c r="F11" s="200">
        <v>-74246.33</v>
      </c>
      <c r="G11" s="200">
        <v>-340.21</v>
      </c>
    </row>
    <row r="12" spans="1:7" ht="16.5" customHeight="1">
      <c r="A12" s="201">
        <v>3</v>
      </c>
      <c r="B12" s="202" t="s">
        <v>55</v>
      </c>
      <c r="C12" s="199">
        <v>4394089.54</v>
      </c>
      <c r="D12" s="272">
        <v>4376889.54</v>
      </c>
      <c r="E12" s="199">
        <f t="shared" si="0"/>
        <v>-17200</v>
      </c>
      <c r="F12" s="200">
        <v>-16130.02</v>
      </c>
      <c r="G12" s="200">
        <v>-25850.73</v>
      </c>
    </row>
    <row r="13" spans="1:7" ht="16.5" customHeight="1">
      <c r="A13" s="201">
        <v>4</v>
      </c>
      <c r="B13" s="202" t="s">
        <v>56</v>
      </c>
      <c r="C13" s="199">
        <v>10085940.5</v>
      </c>
      <c r="D13" s="272">
        <v>10012370.5</v>
      </c>
      <c r="E13" s="199">
        <f t="shared" si="0"/>
        <v>-73570</v>
      </c>
      <c r="F13" s="200">
        <v>-69891.5</v>
      </c>
      <c r="G13" s="200">
        <v>9397.03</v>
      </c>
    </row>
    <row r="14" spans="1:7" ht="16.5" customHeight="1">
      <c r="A14" s="201">
        <v>5</v>
      </c>
      <c r="B14" s="202" t="s">
        <v>57</v>
      </c>
      <c r="C14" s="199">
        <v>2000000</v>
      </c>
      <c r="D14" s="272">
        <v>1963585</v>
      </c>
      <c r="E14" s="199">
        <f t="shared" si="0"/>
        <v>-36415</v>
      </c>
      <c r="F14" s="200">
        <v>-31063.12</v>
      </c>
      <c r="G14" s="200">
        <v>0</v>
      </c>
    </row>
    <row r="15" spans="1:7" ht="16.5" customHeight="1">
      <c r="A15" s="201">
        <v>6</v>
      </c>
      <c r="B15" s="202" t="s">
        <v>58</v>
      </c>
      <c r="C15" s="199">
        <v>6370681.93</v>
      </c>
      <c r="D15" s="272">
        <v>6324961.93</v>
      </c>
      <c r="E15" s="199">
        <f t="shared" si="0"/>
        <v>-45720</v>
      </c>
      <c r="F15" s="200">
        <f>E15+4572</f>
        <v>-41148</v>
      </c>
      <c r="G15" s="200">
        <v>-15891.81</v>
      </c>
    </row>
    <row r="16" spans="1:7" ht="16.5" customHeight="1">
      <c r="A16" s="201">
        <v>7</v>
      </c>
      <c r="B16" s="202" t="s">
        <v>59</v>
      </c>
      <c r="C16" s="199">
        <v>15429400.32</v>
      </c>
      <c r="D16" s="272">
        <v>15415333.32</v>
      </c>
      <c r="E16" s="199">
        <f t="shared" si="0"/>
        <v>-14067</v>
      </c>
      <c r="F16" s="200">
        <f>E16+703.35</f>
        <v>-13363.65</v>
      </c>
      <c r="G16" s="200">
        <v>0.32</v>
      </c>
    </row>
    <row r="17" spans="1:7" ht="27.75" customHeight="1">
      <c r="A17" s="201">
        <v>8</v>
      </c>
      <c r="B17" s="202" t="s">
        <v>60</v>
      </c>
      <c r="C17" s="199">
        <v>16530423.66</v>
      </c>
      <c r="D17" s="272">
        <v>16499502.94</v>
      </c>
      <c r="E17" s="199">
        <f t="shared" si="0"/>
        <v>-30920.72</v>
      </c>
      <c r="F17" s="200">
        <v>-27797.73</v>
      </c>
      <c r="G17" s="200">
        <v>-416827.24</v>
      </c>
    </row>
    <row r="18" spans="1:7" ht="27.75" customHeight="1">
      <c r="A18" s="201">
        <v>9</v>
      </c>
      <c r="B18" s="202" t="s">
        <v>61</v>
      </c>
      <c r="C18" s="199">
        <v>10235783.85</v>
      </c>
      <c r="D18" s="272">
        <v>10213523.15</v>
      </c>
      <c r="E18" s="199">
        <f t="shared" si="0"/>
        <v>-22260.7</v>
      </c>
      <c r="F18" s="200">
        <v>-20012.37</v>
      </c>
      <c r="G18" s="200">
        <v>-346785.86</v>
      </c>
    </row>
    <row r="19" spans="1:7" ht="16.5" customHeight="1">
      <c r="A19" s="201">
        <v>10</v>
      </c>
      <c r="B19" s="202" t="s">
        <v>81</v>
      </c>
      <c r="C19" s="199">
        <v>3081818.49</v>
      </c>
      <c r="D19" s="272">
        <v>3072615.67</v>
      </c>
      <c r="E19" s="199">
        <f t="shared" si="0"/>
        <v>-9202.82</v>
      </c>
      <c r="F19" s="200">
        <v>-8273.34</v>
      </c>
      <c r="G19" s="200">
        <v>-152536.33</v>
      </c>
    </row>
    <row r="20" spans="1:7" ht="27.75" customHeight="1">
      <c r="A20" s="201">
        <v>11</v>
      </c>
      <c r="B20" s="202" t="s">
        <v>62</v>
      </c>
      <c r="C20" s="199">
        <v>15067874.11</v>
      </c>
      <c r="D20" s="272">
        <v>14871250.49</v>
      </c>
      <c r="E20" s="199">
        <f t="shared" si="0"/>
        <v>-196623.62</v>
      </c>
      <c r="F20" s="200">
        <v>-176764.64</v>
      </c>
      <c r="G20" s="200">
        <v>-94799.08</v>
      </c>
    </row>
    <row r="21" spans="1:7" ht="27.75" customHeight="1">
      <c r="A21" s="201">
        <v>12</v>
      </c>
      <c r="B21" s="202" t="s">
        <v>63</v>
      </c>
      <c r="C21" s="199">
        <v>15344666.79</v>
      </c>
      <c r="D21" s="272">
        <v>14974391.16</v>
      </c>
      <c r="E21" s="199">
        <f t="shared" si="0"/>
        <v>-370275.63</v>
      </c>
      <c r="F21" s="200">
        <v>-332480.3</v>
      </c>
      <c r="G21" s="200">
        <v>-81443.02</v>
      </c>
    </row>
    <row r="22" spans="1:7" ht="27.75" customHeight="1">
      <c r="A22" s="201">
        <v>13</v>
      </c>
      <c r="B22" s="202" t="s">
        <v>68</v>
      </c>
      <c r="C22" s="199">
        <v>13612463.92</v>
      </c>
      <c r="D22" s="272">
        <v>13207061.31</v>
      </c>
      <c r="E22" s="199">
        <f t="shared" si="0"/>
        <v>-405402.61</v>
      </c>
      <c r="F22" s="200">
        <v>-364122.48</v>
      </c>
      <c r="G22" s="200">
        <f>-36300.05</f>
        <v>-36300.05</v>
      </c>
    </row>
    <row r="23" spans="1:7" ht="27.75" customHeight="1">
      <c r="A23" s="201">
        <v>14</v>
      </c>
      <c r="B23" s="202" t="s">
        <v>69</v>
      </c>
      <c r="C23" s="199">
        <v>13512567.41</v>
      </c>
      <c r="D23" s="272">
        <v>13094871.79</v>
      </c>
      <c r="E23" s="199">
        <f t="shared" si="0"/>
        <v>-417695.62</v>
      </c>
      <c r="F23" s="200">
        <v>-375105.57</v>
      </c>
      <c r="G23" s="200">
        <v>-57785.05</v>
      </c>
    </row>
    <row r="24" spans="1:7" ht="27.75" customHeight="1">
      <c r="A24" s="201">
        <v>15</v>
      </c>
      <c r="B24" s="202" t="s">
        <v>71</v>
      </c>
      <c r="C24" s="199">
        <v>14362762.41</v>
      </c>
      <c r="D24" s="272">
        <v>14150004.79</v>
      </c>
      <c r="E24" s="199">
        <f t="shared" si="0"/>
        <v>-212757.62</v>
      </c>
      <c r="F24" s="200">
        <v>-191269.1</v>
      </c>
      <c r="G24" s="200">
        <v>-31515.36</v>
      </c>
    </row>
    <row r="25" spans="1:7" ht="27.75" customHeight="1">
      <c r="A25" s="201">
        <v>16</v>
      </c>
      <c r="B25" s="202" t="s">
        <v>70</v>
      </c>
      <c r="C25" s="199">
        <f>28455046.99+147072.92</f>
        <v>28602119.91</v>
      </c>
      <c r="D25" s="272">
        <v>28165151.31</v>
      </c>
      <c r="E25" s="199">
        <f t="shared" si="0"/>
        <v>-436968.6</v>
      </c>
      <c r="F25" s="200">
        <v>-389513.79</v>
      </c>
      <c r="G25" s="200">
        <v>-78675.72</v>
      </c>
    </row>
    <row r="26" spans="1:7" ht="16.5" customHeight="1">
      <c r="A26" s="201">
        <v>17</v>
      </c>
      <c r="B26" s="202" t="s">
        <v>79</v>
      </c>
      <c r="C26" s="199">
        <v>15194921.07</v>
      </c>
      <c r="D26" s="272">
        <v>14773138.45</v>
      </c>
      <c r="E26" s="199">
        <f t="shared" si="0"/>
        <v>-421782.62</v>
      </c>
      <c r="F26" s="200">
        <v>-378782.52</v>
      </c>
      <c r="G26" s="200">
        <v>-36767.33</v>
      </c>
    </row>
    <row r="27" spans="1:7" ht="16.5" customHeight="1">
      <c r="A27" s="201">
        <v>18</v>
      </c>
      <c r="B27" s="202" t="s">
        <v>80</v>
      </c>
      <c r="C27" s="199">
        <v>15037963.55</v>
      </c>
      <c r="D27" s="272">
        <v>14632100.93</v>
      </c>
      <c r="E27" s="199">
        <f t="shared" si="0"/>
        <v>-405862.62</v>
      </c>
      <c r="F27" s="200">
        <v>-364482.14</v>
      </c>
      <c r="G27" s="200">
        <v>-41720.04</v>
      </c>
    </row>
    <row r="28" spans="1:7" ht="16.5" customHeight="1">
      <c r="A28" s="201">
        <v>19</v>
      </c>
      <c r="B28" s="202" t="s">
        <v>67</v>
      </c>
      <c r="C28" s="199">
        <v>7962071.04</v>
      </c>
      <c r="D28" s="272">
        <v>7732241.42</v>
      </c>
      <c r="E28" s="199">
        <f t="shared" si="0"/>
        <v>-229829.62</v>
      </c>
      <c r="F28" s="200">
        <v>-206179.02</v>
      </c>
      <c r="G28" s="200">
        <v>-29385.19</v>
      </c>
    </row>
    <row r="29" spans="1:7" ht="27.75" customHeight="1">
      <c r="A29" s="201">
        <v>20</v>
      </c>
      <c r="B29" s="202" t="s">
        <v>72</v>
      </c>
      <c r="C29" s="199">
        <v>12091588.7</v>
      </c>
      <c r="D29" s="272">
        <v>12069082.56</v>
      </c>
      <c r="E29" s="199">
        <f t="shared" si="0"/>
        <v>-22506.14</v>
      </c>
      <c r="F29" s="200">
        <v>-20233.02</v>
      </c>
      <c r="G29" s="200">
        <v>-430249.56</v>
      </c>
    </row>
    <row r="30" spans="1:7" ht="16.5" customHeight="1">
      <c r="A30" s="201">
        <v>21</v>
      </c>
      <c r="B30" s="202" t="s">
        <v>77</v>
      </c>
      <c r="C30" s="199">
        <v>5144628.11</v>
      </c>
      <c r="D30" s="272">
        <v>5144628.11</v>
      </c>
      <c r="E30" s="199">
        <f t="shared" si="0"/>
        <v>0</v>
      </c>
      <c r="F30" s="200"/>
      <c r="G30" s="200">
        <v>-25528.59</v>
      </c>
    </row>
    <row r="31" spans="1:7" ht="16.5" customHeight="1">
      <c r="A31" s="201">
        <v>22</v>
      </c>
      <c r="B31" s="202" t="s">
        <v>74</v>
      </c>
      <c r="C31" s="199">
        <v>16644929.79</v>
      </c>
      <c r="D31" s="272">
        <v>16644929.79</v>
      </c>
      <c r="E31" s="199">
        <f t="shared" si="0"/>
        <v>0</v>
      </c>
      <c r="F31" s="200"/>
      <c r="G31" s="200">
        <v>34342.86</v>
      </c>
    </row>
    <row r="32" spans="1:7" ht="16.5" customHeight="1">
      <c r="A32" s="201">
        <v>23</v>
      </c>
      <c r="B32" s="202" t="s">
        <v>73</v>
      </c>
      <c r="C32" s="199">
        <v>14573785.81</v>
      </c>
      <c r="D32" s="272">
        <v>14573785.81</v>
      </c>
      <c r="E32" s="199">
        <f t="shared" si="0"/>
        <v>0</v>
      </c>
      <c r="F32" s="200"/>
      <c r="G32" s="200">
        <v>-164890.87</v>
      </c>
    </row>
    <row r="33" spans="1:7" ht="16.5" customHeight="1">
      <c r="A33" s="201">
        <v>24</v>
      </c>
      <c r="B33" s="202" t="s">
        <v>75</v>
      </c>
      <c r="C33" s="199">
        <v>19457206.48</v>
      </c>
      <c r="D33" s="272">
        <v>19457206.48</v>
      </c>
      <c r="E33" s="199">
        <f t="shared" si="0"/>
        <v>0</v>
      </c>
      <c r="F33" s="200"/>
      <c r="G33" s="200">
        <v>205461.44</v>
      </c>
    </row>
    <row r="34" spans="1:7" ht="27.75" customHeight="1" thickBot="1">
      <c r="A34" s="244">
        <v>25</v>
      </c>
      <c r="B34" s="203" t="s">
        <v>87</v>
      </c>
      <c r="C34" s="204">
        <v>6588319.28</v>
      </c>
      <c r="D34" s="272">
        <v>6588319.28</v>
      </c>
      <c r="E34" s="199">
        <f t="shared" si="0"/>
        <v>0</v>
      </c>
      <c r="F34" s="245"/>
      <c r="G34" s="208">
        <v>-219643.89</v>
      </c>
    </row>
    <row r="35" spans="1:7" ht="16.5" thickBot="1">
      <c r="A35" s="360" t="s">
        <v>66</v>
      </c>
      <c r="B35" s="361"/>
      <c r="C35" s="246">
        <f>SUM(C10:C34)</f>
        <v>308147001.84</v>
      </c>
      <c r="D35" s="246">
        <f>SUM(D10:D34)</f>
        <v>304615597.21</v>
      </c>
      <c r="E35" s="246">
        <f>SUM(E10:E34)</f>
        <v>-3531404.63</v>
      </c>
      <c r="F35" s="246">
        <f>F10+F11+F12+F13+F14+F15+F16+F17+F18+F19+F20+F21+F22+F23+F24+F25+F26+F27+F28+F29</f>
        <v>-3173312.78</v>
      </c>
      <c r="G35" s="205">
        <f>SUM(G10:G34)</f>
        <v>-2023940.9</v>
      </c>
    </row>
    <row r="36" spans="1:7" ht="38.25" customHeight="1">
      <c r="A36" s="163"/>
      <c r="B36" s="163"/>
      <c r="C36" s="232"/>
      <c r="D36" s="232"/>
      <c r="E36" s="232"/>
      <c r="F36" s="232"/>
      <c r="G36" s="231"/>
    </row>
    <row r="37" spans="1:7" ht="38.25" customHeight="1">
      <c r="A37" s="362" t="s">
        <v>143</v>
      </c>
      <c r="B37" s="363"/>
      <c r="C37" s="363"/>
      <c r="D37" s="235"/>
      <c r="E37" s="235"/>
      <c r="F37" s="236" t="s">
        <v>147</v>
      </c>
      <c r="G37" s="231"/>
    </row>
    <row r="38" spans="1:7" ht="15.75">
      <c r="A38" s="230"/>
      <c r="B38" s="230"/>
      <c r="C38" s="231"/>
      <c r="D38" s="231"/>
      <c r="E38" s="231"/>
      <c r="F38" s="231"/>
      <c r="G38" s="231"/>
    </row>
  </sheetData>
  <mergeCells count="3">
    <mergeCell ref="A6:F6"/>
    <mergeCell ref="A35:B35"/>
    <mergeCell ref="A37:C37"/>
  </mergeCells>
  <printOptions horizontalCentered="1"/>
  <pageMargins left="0.6" right="0.35" top="0.28" bottom="0.17" header="0.2362204724409449" footer="0.15748031496062992"/>
  <pageSetup horizontalDpi="600" verticalDpi="600" orientation="portrait" paperSize="9" scale="85" r:id="rId1"/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ЖКХ и ОСС Мэрии г. Магадана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Быхов</dc:creator>
  <cp:keywords/>
  <dc:description/>
  <cp:lastModifiedBy>miloserdova</cp:lastModifiedBy>
  <cp:lastPrinted>2012-03-21T12:03:31Z</cp:lastPrinted>
  <dcterms:created xsi:type="dcterms:W3CDTF">2007-11-02T04:19:10Z</dcterms:created>
  <dcterms:modified xsi:type="dcterms:W3CDTF">2012-03-26T12:12:43Z</dcterms:modified>
  <cp:category/>
  <cp:version/>
  <cp:contentType/>
  <cp:contentStatus/>
</cp:coreProperties>
</file>