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0" windowWidth="27555" windowHeight="15030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(2)'!$A$11:$AI$277</definedName>
    <definedName name="_xlnm.Print_Titles" localSheetId="0">'17.07_20-22 (2)'!$15:$15</definedName>
    <definedName name="_xlnm.Print_Area" localSheetId="0">'17.07_20-22 (2)'!$A$4:$DK$283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AC216" i="2" l="1"/>
  <c r="AB229" i="2"/>
  <c r="AC229" i="2"/>
  <c r="AC228" i="2"/>
  <c r="AB228" i="2"/>
  <c r="AC223" i="2"/>
  <c r="AB223" i="2"/>
  <c r="AC212" i="2"/>
  <c r="AB212" i="2"/>
  <c r="AC184" i="2"/>
  <c r="AB183" i="2"/>
  <c r="AB182" i="2"/>
  <c r="AC183" i="2"/>
  <c r="AC182" i="2"/>
  <c r="AB184" i="2"/>
  <c r="AE254" i="2" l="1"/>
  <c r="AE203" i="2"/>
  <c r="AB213" i="2"/>
  <c r="AE213" i="2" s="1"/>
  <c r="AB206" i="2"/>
  <c r="AE206" i="2" s="1"/>
  <c r="AB205" i="2"/>
  <c r="AE205" i="2" s="1"/>
  <c r="AB204" i="2"/>
  <c r="AE204" i="2" s="1"/>
  <c r="AB235" i="2"/>
  <c r="AE235" i="2" s="1"/>
  <c r="AB256" i="2" l="1"/>
  <c r="AE256" i="2" s="1"/>
  <c r="AB255" i="2"/>
  <c r="AE255" i="2" s="1"/>
  <c r="AB224" i="2"/>
  <c r="AE224" i="2" s="1"/>
  <c r="AB225" i="2"/>
  <c r="AE225" i="2" s="1"/>
  <c r="AB221" i="2"/>
  <c r="AE221" i="2" s="1"/>
  <c r="AB220" i="2"/>
  <c r="AE220" i="2" s="1"/>
  <c r="AB210" i="2" l="1"/>
  <c r="AE210" i="2" s="1"/>
  <c r="AB197" i="2" l="1"/>
  <c r="AE197" i="2" s="1"/>
  <c r="AB179" i="2"/>
  <c r="AE179" i="2" s="1"/>
  <c r="AB175" i="2"/>
  <c r="AE175" i="2" s="1"/>
  <c r="AB174" i="2"/>
  <c r="AE174" i="2" s="1"/>
  <c r="AB173" i="2"/>
  <c r="AE173" i="2" s="1"/>
  <c r="AB172" i="2"/>
  <c r="AE172" i="2" s="1"/>
  <c r="AB170" i="2"/>
  <c r="AE170" i="2"/>
  <c r="AE169" i="2"/>
  <c r="AE168" i="2"/>
  <c r="T236" i="2" l="1"/>
  <c r="AB236" i="2" s="1"/>
  <c r="AE236" i="2" l="1"/>
  <c r="AB202" i="2"/>
  <c r="AB201" i="2"/>
  <c r="S195" i="2" l="1"/>
  <c r="Q195" i="2"/>
  <c r="P195" i="2"/>
  <c r="O195" i="2"/>
  <c r="N195" i="2"/>
  <c r="S194" i="2"/>
  <c r="R194" i="2"/>
  <c r="Q194" i="2"/>
  <c r="P194" i="2"/>
  <c r="O194" i="2"/>
  <c r="N194" i="2"/>
  <c r="Z258" i="2"/>
  <c r="S257" i="2"/>
  <c r="R257" i="2"/>
  <c r="R258" i="2" s="1"/>
  <c r="Q257" i="2"/>
  <c r="P257" i="2"/>
  <c r="O257" i="2"/>
  <c r="N257" i="2"/>
  <c r="V233" i="2"/>
  <c r="AE233" i="2" s="1"/>
  <c r="V253" i="2"/>
  <c r="AE253" i="2" s="1"/>
  <c r="AB252" i="2"/>
  <c r="AE252" i="2" s="1"/>
  <c r="V251" i="2"/>
  <c r="AB251" i="2" s="1"/>
  <c r="AB250" i="2"/>
  <c r="V249" i="2"/>
  <c r="AB249" i="2" s="1"/>
  <c r="W248" i="2"/>
  <c r="AB248" i="2" s="1"/>
  <c r="V247" i="2"/>
  <c r="AE247" i="2" s="1"/>
  <c r="V246" i="2"/>
  <c r="AB246" i="2" s="1"/>
  <c r="V245" i="2"/>
  <c r="AE245" i="2" s="1"/>
  <c r="Y244" i="2"/>
  <c r="X244" i="2"/>
  <c r="W244" i="2"/>
  <c r="Y243" i="2"/>
  <c r="X243" i="2"/>
  <c r="W243" i="2"/>
  <c r="V242" i="2"/>
  <c r="AB242" i="2" s="1"/>
  <c r="V241" i="2"/>
  <c r="AB241" i="2" s="1"/>
  <c r="V240" i="2"/>
  <c r="AB240" i="2" s="1"/>
  <c r="S239" i="2"/>
  <c r="Q239" i="2"/>
  <c r="P239" i="2"/>
  <c r="O239" i="2"/>
  <c r="N239" i="2"/>
  <c r="V238" i="2"/>
  <c r="AB238" i="2" s="1"/>
  <c r="V237" i="2"/>
  <c r="AB237" i="2" s="1"/>
  <c r="T258" i="2"/>
  <c r="X234" i="2"/>
  <c r="V234" i="2"/>
  <c r="S234" i="2"/>
  <c r="Q234" i="2"/>
  <c r="P234" i="2"/>
  <c r="O234" i="2"/>
  <c r="X232" i="2"/>
  <c r="V232" i="2"/>
  <c r="S232" i="2"/>
  <c r="Q232" i="2"/>
  <c r="P232" i="2"/>
  <c r="O232" i="2"/>
  <c r="N232" i="2"/>
  <c r="AE237" i="2" l="1"/>
  <c r="AE241" i="2"/>
  <c r="AE246" i="2"/>
  <c r="AB245" i="2"/>
  <c r="AE249" i="2"/>
  <c r="AE251" i="2"/>
  <c r="AB233" i="2"/>
  <c r="AE195" i="2"/>
  <c r="AE239" i="2"/>
  <c r="AE234" i="2"/>
  <c r="S258" i="2"/>
  <c r="O258" i="2"/>
  <c r="V258" i="2"/>
  <c r="AE242" i="2"/>
  <c r="X258" i="2"/>
  <c r="AE238" i="2"/>
  <c r="Q258" i="2"/>
  <c r="W258" i="2"/>
  <c r="AE244" i="2"/>
  <c r="AE257" i="2"/>
  <c r="AE194" i="2"/>
  <c r="AB194" i="2"/>
  <c r="AE232" i="2"/>
  <c r="AB244" i="2"/>
  <c r="AB243" i="2"/>
  <c r="AB195" i="2"/>
  <c r="AB257" i="2"/>
  <c r="P258" i="2"/>
  <c r="Y258" i="2"/>
  <c r="AE243" i="2"/>
  <c r="AB253" i="2"/>
  <c r="AB232" i="2"/>
  <c r="AB234" i="2"/>
  <c r="AB239" i="2"/>
  <c r="AE240" i="2"/>
  <c r="AB247" i="2"/>
  <c r="AE248" i="2"/>
  <c r="N258" i="2"/>
  <c r="AB258" i="2" l="1"/>
  <c r="AE258" i="2"/>
  <c r="AC190" i="2"/>
  <c r="AB190" i="2"/>
  <c r="AC188" i="2"/>
  <c r="AB188" i="2"/>
  <c r="AC121" i="2"/>
  <c r="AB121" i="2"/>
  <c r="AC149" i="2"/>
  <c r="AB149" i="2"/>
  <c r="AC164" i="2"/>
  <c r="AC157" i="2"/>
  <c r="AC156" i="2"/>
  <c r="AC155" i="2"/>
  <c r="AC153" i="2"/>
  <c r="AC192" i="2"/>
  <c r="AC19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189" i="2" l="1"/>
  <c r="AB165" i="2" l="1"/>
  <c r="AC165" i="2" s="1"/>
  <c r="Z166" i="2"/>
  <c r="AB160" i="2"/>
  <c r="AC160" i="2" s="1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Z230" i="2" l="1"/>
  <c r="V230" i="2"/>
  <c r="U230" i="2"/>
  <c r="S230" i="2"/>
  <c r="R230" i="2"/>
  <c r="Q230" i="2"/>
  <c r="P230" i="2"/>
  <c r="O230" i="2"/>
  <c r="N230" i="2"/>
  <c r="AE229" i="2"/>
  <c r="AE226" i="2"/>
  <c r="AB226" i="2"/>
  <c r="AE178" i="2"/>
  <c r="AB178" i="2"/>
  <c r="AE177" i="2"/>
  <c r="AB177" i="2"/>
  <c r="AE222" i="2"/>
  <c r="AB222" i="2"/>
  <c r="AB215" i="2"/>
  <c r="AE211" i="2"/>
  <c r="AB211" i="2"/>
  <c r="AE209" i="2"/>
  <c r="AB209" i="2"/>
  <c r="AE208" i="2"/>
  <c r="AB208" i="2"/>
  <c r="AE202" i="2"/>
  <c r="AE201" i="2"/>
  <c r="AE200" i="2"/>
  <c r="AB200" i="2"/>
  <c r="AE199" i="2"/>
  <c r="AB199" i="2"/>
  <c r="AB198" i="2"/>
  <c r="AB196" i="2"/>
  <c r="AE181" i="2"/>
  <c r="AB181" i="2"/>
  <c r="AE180" i="2"/>
  <c r="AB180" i="2"/>
  <c r="AE176" i="2"/>
  <c r="AB176" i="2"/>
  <c r="AE171" i="2"/>
  <c r="AB171" i="2"/>
  <c r="AB169" i="2"/>
  <c r="AB168" i="2"/>
  <c r="Y166" i="2"/>
  <c r="X166" i="2"/>
  <c r="W166" i="2"/>
  <c r="U166" i="2"/>
  <c r="S166" i="2"/>
  <c r="R166" i="2"/>
  <c r="Q166" i="2"/>
  <c r="P166" i="2"/>
  <c r="O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19" i="2"/>
  <c r="AB218" i="2"/>
  <c r="AB157" i="2"/>
  <c r="AB156" i="2"/>
  <c r="AB217" i="2"/>
  <c r="AB155" i="2"/>
  <c r="AB21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193" i="2"/>
  <c r="AC193" i="2" s="1"/>
  <c r="AB192" i="2"/>
  <c r="AB191" i="2"/>
  <c r="AB129" i="2"/>
  <c r="AB128" i="2"/>
  <c r="AB127" i="2"/>
  <c r="AB126" i="2"/>
  <c r="AB125" i="2"/>
  <c r="AB186" i="2"/>
  <c r="AB123" i="2"/>
  <c r="AB122" i="2"/>
  <c r="AB18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C166" i="2" l="1"/>
  <c r="B22" i="3" s="1"/>
  <c r="AB230" i="2"/>
  <c r="AE230" i="2"/>
  <c r="AB166" i="2"/>
  <c r="B21" i="3" s="1"/>
  <c r="AE17" i="2"/>
  <c r="AE166" i="2" s="1"/>
</calcChain>
</file>

<file path=xl/comments1.xml><?xml version="1.0" encoding="utf-8"?>
<comments xmlns="http://schemas.openxmlformats.org/spreadsheetml/2006/main">
  <authors>
    <author>Автор</author>
    <author>Стеценко Татьяна Николавена</author>
  </authors>
  <commentList>
    <comment ref="Z137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50" authorId="1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<sst xmlns="http://schemas.openxmlformats.org/spreadsheetml/2006/main" count="1416" uniqueCount="329">
  <si>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</si>
  <si>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</si>
  <si>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</si>
  <si>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</si>
  <si>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</si>
  <si>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</si>
  <si>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</si>
  <si>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</si>
  <si>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</si>
  <si>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</si>
  <si>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</si>
  <si>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</si>
  <si>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</si>
  <si>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</si>
  <si>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</si>
  <si>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</si>
  <si>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</si>
  <si>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</si>
  <si>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</si>
  <si>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</si>
  <si>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</si>
  <si>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</si>
  <si>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</si>
  <si>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</si>
  <si>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</si>
  <si>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</si>
  <si>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</si>
  <si>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</si>
  <si>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</si>
  <si>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</si>
  <si>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</si>
  <si>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</si>
  <si>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</si>
  <si>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</si>
  <si>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</si>
  <si>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</si>
  <si>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</si>
  <si>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</si>
  <si>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</si>
  <si>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</si>
  <si>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</si>
  <si>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</si>
  <si>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</si>
  <si>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</si>
  <si>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</si>
  <si>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</si>
  <si>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</si>
  <si>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</si>
  <si>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</si>
  <si>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</si>
  <si>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</si>
  <si>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</si>
  <si>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</si>
  <si>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</si>
  <si>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</si>
  <si>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</si>
  <si>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</si>
  <si>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</si>
  <si>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</si>
  <si>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</si>
  <si>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</si>
  <si>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</si>
  <si>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</si>
  <si>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</si>
  <si>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</si>
  <si>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</si>
  <si>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</si>
  <si>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</si>
  <si>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</si>
  <si>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</si>
  <si>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</si>
  <si>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</si>
  <si>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</si>
  <si>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</si>
  <si>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</si>
  <si>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</si>
  <si>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</si>
  <si>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</si>
  <si>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</si>
  <si>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</si>
  <si>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</si>
  <si>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</si>
  <si>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</si>
  <si>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</si>
  <si>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</si>
  <si>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</si>
  <si>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</si>
  <si>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</si>
  <si>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</si>
  <si>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</si>
  <si>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</si>
  <si>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</si>
  <si>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</si>
  <si>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</si>
  <si>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</si>
  <si>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</si>
  <si>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</si>
  <si>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</si>
  <si>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</si>
  <si>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</si>
  <si>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</si>
  <si>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</si>
  <si>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</si>
  <si>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</si>
  <si>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</si>
  <si>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</si>
  <si>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</si>
  <si>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</si>
  <si>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</si>
  <si>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</si>
  <si>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</si>
  <si>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</si>
  <si>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</si>
  <si>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</si>
  <si>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</si>
  <si>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</si>
  <si>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</si>
  <si>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</si>
  <si>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</si>
  <si>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</si>
  <si>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</si>
  <si>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</si>
  <si>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</si>
  <si>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</si>
  <si>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</si>
  <si>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</si>
  <si>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</si>
  <si>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</si>
  <si>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</si>
  <si>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</si>
  <si>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</si>
  <si>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</si>
  <si>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</si>
  <si>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</si>
  <si>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</si>
  <si>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</si>
  <si>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</si>
  <si>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</si>
  <si>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</si>
  <si>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</si>
  <si>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</si>
  <si>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</si>
  <si>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</si>
  <si>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</si>
  <si>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</si>
  <si>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</si>
  <si>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</si>
  <si>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</si>
  <si>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</si>
  <si>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</si>
  <si>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</si>
  <si>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</si>
  <si>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</si>
  <si>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</si>
  <si>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</si>
  <si>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</si>
  <si>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</si>
  <si>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</si>
  <si>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</si>
  <si>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</si>
  <si>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</si>
  <si>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</si>
  <si>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</si>
  <si>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</si>
  <si>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</si>
  <si>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</si>
  <si>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</si>
  <si>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</si>
  <si>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</si>
  <si>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</si>
  <si>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</si>
  <si>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</si>
  <si>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</si>
  <si>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</si>
  <si>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</si>
  <si>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</si>
  <si>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</si>
  <si>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</si>
  <si>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</si>
  <si>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</si>
  <si>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</si>
  <si>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</si>
  <si>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</si>
  <si>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</si>
  <si>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</si>
  <si>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</si>
  <si>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</si>
  <si>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</si>
  <si>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</si>
  <si>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</si>
  <si>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</si>
  <si>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</si>
  <si>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</si>
  <si>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</si>
  <si>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</si>
  <si>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</si>
  <si>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</si>
  <si>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</si>
  <si>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</si>
  <si>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</si>
  <si>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</si>
  <si>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</si>
  <si>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</si>
  <si>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</si>
  <si>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</si>
  <si>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</si>
  <si>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</si>
  <si>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</si>
  <si>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</si>
  <si>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</si>
  <si>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</si>
  <si>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</si>
  <si>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</si>
  <si>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</si>
  <si>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</si>
  <si>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</si>
  <si>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</si>
  <si>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</si>
  <si>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</si>
  <si>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</si>
  <si>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</si>
  <si>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</si>
  <si>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</si>
  <si>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</si>
  <si>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</si>
  <si>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</si>
  <si>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</si>
  <si>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</si>
  <si>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</si>
  <si>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</si>
  <si>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</si>
  <si>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</si>
  <si>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</si>
  <si>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</si>
  <si>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</si>
  <si>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</si>
  <si>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</si>
  <si>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</si>
  <si>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</si>
  <si>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</si>
  <si>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</si>
  <si>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</si>
  <si>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</si>
  <si>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</si>
  <si>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</si>
  <si>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</si>
  <si>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</si>
  <si>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</si>
  <si>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</si>
  <si>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</si>
  <si>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</si>
  <si>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</si>
  <si>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</si>
  <si>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</si>
  <si>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</si>
  <si>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</si>
  <si>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</si>
  <si>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</si>
  <si>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</si>
  <si>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</si>
  <si>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</si>
  <si>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</si>
  <si>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</si>
  <si>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</si>
  <si>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</si>
  <si>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</si>
  <si>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</si>
  <si>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</si>
  <si>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</si>
  <si>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</si>
  <si>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</si>
  <si>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</si>
  <si>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</si>
  <si>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</si>
  <si>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</si>
  <si>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</si>
  <si>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</si>
  <si>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</si>
  <si>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</si>
  <si>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</si>
  <si>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</si>
  <si>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</si>
  <si>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</si>
  <si>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</si>
  <si>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</si>
  <si>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</si>
  <si>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</si>
  <si>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</si>
  <si>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</si>
  <si>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</si>
  <si>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</si>
  <si>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</si>
  <si>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необходимое  оборудование согласно техническим условиям теплоснабжающей организации;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</si>
  <si>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</si>
  <si>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</si>
  <si>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</si>
  <si>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* – сведения отсутствуют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</si>
  <si>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</si>
  <si>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</si>
  <si>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</si>
  <si>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</si>
  <si>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</si>
  <si>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</si>
  <si>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</si>
  <si>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</si>
  <si>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</si>
  <si>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</si>
  <si>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</si>
  <si>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</si>
  <si>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</si>
  <si>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</si>
  <si>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</si>
  <si>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</si>
  <si>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</si>
  <si>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</si>
  <si>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</si>
  <si>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</si>
  <si>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</si>
  <si>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</si>
  <si>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</si>
  <si>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</si>
  <si>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</si>
  <si>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</si>
  <si>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</si>
  <si>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</si>
  <si>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</si>
  <si>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</si>
  <si>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</si>
  <si>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от 19.04.2021 №  1048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</si>
</sst>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$-419]General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2" fillId="0" borderId="0" applyFont="0" applyFill="0" applyBorder="0" applyAlignment="0" applyProtection="0">
      <alignment horizontal="left" vertical="center" wrapText="1"/>
    </xf>
    <xf numFmtId="43" fontId="2" fillId="0" borderId="0" applyFont="0" applyFill="0" applyBorder="0" applyAlignment="0" applyProtection="0">
      <alignment horizontal="left" vertical="center" wrapText="1"/>
    </xf>
  </cellStyleXfs>
  <cellXfs count="83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center" vertical="center" textRotation="90" wrapText="1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</cellXfs>
  <cellStyles count="17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84"/>
  <sheetViews>
    <sheetView tabSelected="1" view="pageLayout" topLeftCell="O6" zoomScale="40" zoomScaleNormal="40" zoomScaleSheetLayoutView="30" zoomScalePageLayoutView="40" workbookViewId="0">
      <selection activeCell="A11" sqref="A11:AH11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7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4.1640625" style="4" customWidth="1"/>
    <col min="30" max="30" width="28.332031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81" t="s">
        <v>0</v>
      </c>
      <c r="AC1" s="81"/>
      <c r="AD1" s="81"/>
      <c r="AE1" s="81"/>
      <c r="AF1" s="81"/>
      <c r="AG1" s="81"/>
      <c r="AH1" s="81"/>
      <c r="AI1" s="81"/>
    </row>
    <row r="2" spans="1:35" ht="387" hidden="1" customHeight="1" x14ac:dyDescent="0.35">
      <c r="AB2" s="81"/>
      <c r="AC2" s="81"/>
      <c r="AD2" s="81"/>
      <c r="AE2" s="81"/>
      <c r="AF2" s="81"/>
      <c r="AG2" s="81"/>
      <c r="AH2" s="81"/>
      <c r="AI2" s="81"/>
    </row>
    <row r="3" spans="1:35" ht="51" hidden="1" customHeight="1" x14ac:dyDescent="0.35">
      <c r="AB3" s="81"/>
      <c r="AC3" s="81"/>
      <c r="AD3" s="81"/>
      <c r="AE3" s="81"/>
      <c r="AF3" s="81"/>
      <c r="AG3" s="81"/>
      <c r="AH3" s="81"/>
      <c r="AI3" s="81"/>
    </row>
    <row r="4" spans="1:35" ht="3" hidden="1" customHeight="1" x14ac:dyDescent="0.35">
      <c r="AB4" s="81"/>
      <c r="AC4" s="81"/>
      <c r="AD4" s="81"/>
      <c r="AE4" s="81"/>
      <c r="AF4" s="81"/>
      <c r="AG4" s="81"/>
      <c r="AH4" s="81"/>
      <c r="AI4" s="81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60"/>
    </row>
    <row r="6" spans="1:35" ht="65.25" customHeight="1" x14ac:dyDescent="1.05">
      <c r="A6" s="20"/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80" t="s">
        <v>254</v>
      </c>
      <c r="AC6" s="80"/>
      <c r="AD6" s="80"/>
      <c r="AE6" s="80"/>
      <c r="AF6" s="80"/>
      <c r="AG6" s="80"/>
      <c r="AH6" s="80"/>
      <c r="AI6" s="60"/>
    </row>
    <row r="7" spans="1:35" ht="56.25" customHeight="1" x14ac:dyDescent="1.05">
      <c r="A7" s="20"/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80" t="s">
        <v>280</v>
      </c>
      <c r="AC7" s="80"/>
      <c r="AD7" s="80"/>
      <c r="AE7" s="80"/>
      <c r="AF7" s="80"/>
      <c r="AG7" s="80"/>
      <c r="AH7" s="80"/>
      <c r="AI7" s="60"/>
    </row>
    <row r="8" spans="1:35" ht="57.75" customHeight="1" x14ac:dyDescent="1.05">
      <c r="A8" s="20"/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80" t="s">
        <v>1</v>
      </c>
      <c r="AC8" s="80"/>
      <c r="AD8" s="80"/>
      <c r="AE8" s="80"/>
      <c r="AF8" s="80"/>
      <c r="AG8" s="80"/>
      <c r="AH8" s="80"/>
      <c r="AI8" s="60"/>
    </row>
    <row r="9" spans="1:35" ht="71.25" customHeight="1" x14ac:dyDescent="1.05">
      <c r="A9" s="20"/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80" t="s">
        <v>328</v>
      </c>
      <c r="AC9" s="80"/>
      <c r="AD9" s="80"/>
      <c r="AE9" s="80"/>
      <c r="AF9" s="80"/>
      <c r="AG9" s="80"/>
      <c r="AH9" s="80"/>
      <c r="AI9" s="60"/>
    </row>
    <row r="10" spans="1:35" ht="56.25" customHeight="1" x14ac:dyDescent="0.85">
      <c r="A10" s="20"/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60"/>
    </row>
    <row r="11" spans="1:35" s="5" customFormat="1" ht="133.5" customHeight="1" x14ac:dyDescent="0.35">
      <c r="A11" s="82" t="s">
        <v>247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5" s="5" customFormat="1" ht="33.75" customHeight="1" x14ac:dyDescent="0.3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5" ht="48.75" customHeight="1" x14ac:dyDescent="0.35">
      <c r="A13" s="74" t="s">
        <v>2</v>
      </c>
      <c r="B13" s="76" t="s">
        <v>3</v>
      </c>
      <c r="C13" s="76" t="s">
        <v>4</v>
      </c>
      <c r="D13" s="76" t="s">
        <v>5</v>
      </c>
      <c r="E13" s="76" t="s">
        <v>6</v>
      </c>
      <c r="F13" s="76" t="s">
        <v>7</v>
      </c>
      <c r="G13" s="74" t="s">
        <v>244</v>
      </c>
      <c r="H13" s="67" t="s">
        <v>8</v>
      </c>
      <c r="I13" s="69"/>
      <c r="J13" s="76" t="s">
        <v>9</v>
      </c>
      <c r="K13" s="76" t="s">
        <v>10</v>
      </c>
      <c r="L13" s="76" t="s">
        <v>11</v>
      </c>
      <c r="M13" s="76" t="s">
        <v>12</v>
      </c>
      <c r="N13" s="78" t="s">
        <v>13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67" t="s">
        <v>259</v>
      </c>
      <c r="AC13" s="68"/>
      <c r="AD13" s="68"/>
      <c r="AE13" s="68"/>
      <c r="AF13" s="69"/>
      <c r="AG13" s="74" t="s">
        <v>14</v>
      </c>
      <c r="AH13" s="74" t="s">
        <v>318</v>
      </c>
    </row>
    <row r="14" spans="1:35" ht="231" customHeight="1" x14ac:dyDescent="0.35">
      <c r="A14" s="75"/>
      <c r="B14" s="77"/>
      <c r="C14" s="77"/>
      <c r="D14" s="77"/>
      <c r="E14" s="77"/>
      <c r="F14" s="77"/>
      <c r="G14" s="75"/>
      <c r="H14" s="59" t="s">
        <v>243</v>
      </c>
      <c r="I14" s="65" t="s">
        <v>319</v>
      </c>
      <c r="J14" s="77"/>
      <c r="K14" s="77"/>
      <c r="L14" s="77"/>
      <c r="M14" s="77"/>
      <c r="N14" s="6" t="s">
        <v>249</v>
      </c>
      <c r="O14" s="6" t="s">
        <v>240</v>
      </c>
      <c r="P14" s="6" t="s">
        <v>15</v>
      </c>
      <c r="Q14" s="6" t="s">
        <v>250</v>
      </c>
      <c r="R14" s="6" t="s">
        <v>16</v>
      </c>
      <c r="S14" s="6" t="s">
        <v>251</v>
      </c>
      <c r="T14" s="6" t="s">
        <v>241</v>
      </c>
      <c r="U14" s="6" t="s">
        <v>17</v>
      </c>
      <c r="V14" s="6" t="s">
        <v>18</v>
      </c>
      <c r="W14" s="6" t="s">
        <v>242</v>
      </c>
      <c r="X14" s="6" t="s">
        <v>19</v>
      </c>
      <c r="Y14" s="6" t="s">
        <v>20</v>
      </c>
      <c r="Z14" s="6" t="s">
        <v>21</v>
      </c>
      <c r="AA14" s="6" t="s">
        <v>252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317</v>
      </c>
      <c r="AG14" s="75"/>
      <c r="AH14" s="75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70" t="s">
        <v>26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267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260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277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>
        <v>1323903.43</v>
      </c>
      <c r="Z21" s="6">
        <v>171637.7</v>
      </c>
      <c r="AA21" s="6"/>
      <c r="AB21" s="6">
        <f>SUM(N21:Z21)</f>
        <v>5892894.2338499995</v>
      </c>
      <c r="AC21" s="6"/>
      <c r="AD21" s="6"/>
      <c r="AE21" s="6">
        <f>AB21</f>
        <v>5892894.2338499995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281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320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62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321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261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327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322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323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5133924.6100000003</v>
      </c>
      <c r="Y86" s="6"/>
      <c r="Z86" s="6">
        <v>398480.12</v>
      </c>
      <c r="AA86" s="6"/>
      <c r="AB86" s="6">
        <f t="shared" si="3"/>
        <v>13681150.85</v>
      </c>
      <c r="AC86" s="6"/>
      <c r="AD86" s="6"/>
      <c r="AE86" s="6">
        <f t="shared" si="4"/>
        <v>13681150.85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262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263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287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264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265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266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253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287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287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287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286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282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271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268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269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270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272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274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278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283</v>
      </c>
      <c r="D147" s="18">
        <v>1986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273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284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275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56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287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56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56" t="s">
        <v>65</v>
      </c>
      <c r="L156" s="18" t="s">
        <v>287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56" t="s">
        <v>29</v>
      </c>
      <c r="L157" s="18" t="s">
        <v>287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56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56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294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279</v>
      </c>
      <c r="J160" s="18">
        <v>32</v>
      </c>
      <c r="K160" s="56" t="s">
        <v>65</v>
      </c>
      <c r="L160" s="18" t="s">
        <v>30</v>
      </c>
      <c r="M160" s="18"/>
      <c r="N160" s="6"/>
      <c r="O160" s="6"/>
      <c r="P160" s="6"/>
      <c r="Q160" s="6"/>
      <c r="R160" s="6">
        <v>961324.71</v>
      </c>
      <c r="S160" s="6"/>
      <c r="T160" s="6"/>
      <c r="U160" s="6"/>
      <c r="V160" s="6"/>
      <c r="W160" s="6"/>
      <c r="X160" s="6"/>
      <c r="Y160" s="6"/>
      <c r="Z160" s="6">
        <v>55000</v>
      </c>
      <c r="AA160" s="6"/>
      <c r="AB160" s="6">
        <f>R160+Z160</f>
        <v>1016324.71</v>
      </c>
      <c r="AC160" s="6">
        <f>AB160</f>
        <v>1016324.71</v>
      </c>
      <c r="AD160" s="6"/>
      <c r="AE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56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56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56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245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56" t="s">
        <v>29</v>
      </c>
      <c r="L164" s="18" t="s">
        <v>287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276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287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67" t="s">
        <v>166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">
        <f t="shared" ref="N166:S166" si="12">SUM(N17:N164)</f>
        <v>1574049.91833</v>
      </c>
      <c r="O166" s="6">
        <f t="shared" si="12"/>
        <v>10571431.449999999</v>
      </c>
      <c r="P166" s="6">
        <f t="shared" si="12"/>
        <v>3053469.18848</v>
      </c>
      <c r="Q166" s="6">
        <f t="shared" si="12"/>
        <v>3958035.6071699997</v>
      </c>
      <c r="R166" s="6">
        <f t="shared" si="12"/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133916400.69353501</v>
      </c>
      <c r="Y166" s="6">
        <f>SUM(Y17:Y164)</f>
        <v>7102749.2365600001</v>
      </c>
      <c r="Z166" s="6">
        <f>SUM(Z17:Z165)</f>
        <v>10883592.949999999</v>
      </c>
      <c r="AA166" s="6"/>
      <c r="AB166" s="6">
        <f>SUM(AB17:AB164)</f>
        <v>805278533.33202076</v>
      </c>
      <c r="AC166" s="6">
        <f>SUM(AC17:AC164)</f>
        <v>308299759.74000007</v>
      </c>
      <c r="AD166" s="6"/>
      <c r="AE166" s="6">
        <f>SUM(AE17:AE164)</f>
        <v>496978773.58891982</v>
      </c>
      <c r="AF166" s="18"/>
      <c r="AG166" s="18"/>
      <c r="AH166" s="18"/>
    </row>
    <row r="167" spans="1:34" ht="84.95" customHeight="1" x14ac:dyDescent="0.35">
      <c r="A167" s="70" t="s">
        <v>167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2"/>
    </row>
    <row r="168" spans="1:34" ht="84.95" customHeight="1" x14ac:dyDescent="0.35">
      <c r="A168" s="18">
        <v>150</v>
      </c>
      <c r="B168" s="18" t="s">
        <v>27</v>
      </c>
      <c r="C168" s="18" t="s">
        <v>168</v>
      </c>
      <c r="D168" s="18">
        <v>1979</v>
      </c>
      <c r="E168" s="18">
        <v>9</v>
      </c>
      <c r="F168" s="18">
        <v>1</v>
      </c>
      <c r="G168" s="27">
        <v>2130</v>
      </c>
      <c r="H168" s="18">
        <v>1185.5999999999999</v>
      </c>
      <c r="I168" s="18" t="s">
        <v>32</v>
      </c>
      <c r="J168" s="18" t="s">
        <v>32</v>
      </c>
      <c r="K168" s="18" t="s">
        <v>29</v>
      </c>
      <c r="L168" s="18" t="s">
        <v>30</v>
      </c>
      <c r="M168" s="18"/>
      <c r="N168" s="6"/>
      <c r="O168" s="6"/>
      <c r="P168" s="6"/>
      <c r="Q168" s="6"/>
      <c r="R168" s="6">
        <v>961324.71</v>
      </c>
      <c r="S168" s="6"/>
      <c r="T168" s="9"/>
      <c r="U168" s="6"/>
      <c r="V168" s="6"/>
      <c r="W168" s="6"/>
      <c r="X168" s="6"/>
      <c r="Y168" s="6"/>
      <c r="Z168" s="6">
        <v>55000</v>
      </c>
      <c r="AA168" s="6"/>
      <c r="AB168" s="6">
        <f>N168+O168+P168+Q168+R168+S168+T168+U168+V168+W168+X168+Y168+Z168+AA168</f>
        <v>1016324.71</v>
      </c>
      <c r="AC168" s="6"/>
      <c r="AD168" s="6"/>
      <c r="AE168" s="6">
        <f>SUM(N168:Z168)</f>
        <v>1016324.71</v>
      </c>
      <c r="AF168" s="7"/>
      <c r="AG168" s="18">
        <v>2020</v>
      </c>
      <c r="AH168" s="18">
        <v>2022</v>
      </c>
    </row>
    <row r="169" spans="1:34" ht="84.95" customHeight="1" x14ac:dyDescent="0.35">
      <c r="A169" s="18">
        <v>151</v>
      </c>
      <c r="B169" s="18" t="s">
        <v>27</v>
      </c>
      <c r="C169" s="18" t="s">
        <v>169</v>
      </c>
      <c r="D169" s="18">
        <v>1969</v>
      </c>
      <c r="E169" s="18">
        <v>5</v>
      </c>
      <c r="F169" s="18">
        <v>6</v>
      </c>
      <c r="G169" s="27">
        <v>4675</v>
      </c>
      <c r="H169" s="27">
        <v>4575.8999999999996</v>
      </c>
      <c r="I169" s="27" t="s">
        <v>32</v>
      </c>
      <c r="J169" s="18" t="s">
        <v>32</v>
      </c>
      <c r="K169" s="18" t="s">
        <v>29</v>
      </c>
      <c r="L169" s="18" t="s">
        <v>30</v>
      </c>
      <c r="M169" s="18"/>
      <c r="N169" s="6"/>
      <c r="O169" s="6"/>
      <c r="P169" s="6"/>
      <c r="Q169" s="6"/>
      <c r="R169" s="6">
        <v>961324.71</v>
      </c>
      <c r="S169" s="6"/>
      <c r="T169" s="9"/>
      <c r="U169" s="6"/>
      <c r="V169" s="6"/>
      <c r="W169" s="6"/>
      <c r="X169" s="6"/>
      <c r="Y169" s="6"/>
      <c r="Z169" s="6">
        <v>55000</v>
      </c>
      <c r="AA169" s="6"/>
      <c r="AB169" s="6">
        <f t="shared" ref="AB169:AB215" si="13">N169+O169+P169+Q169+R169+S169+T169+U169+V169+W169+X169+Y169+Z169+AA169</f>
        <v>1016324.71</v>
      </c>
      <c r="AC169" s="6"/>
      <c r="AD169" s="6"/>
      <c r="AE169" s="6">
        <f>SUM(N169:Z169)</f>
        <v>1016324.71</v>
      </c>
      <c r="AF169" s="7"/>
      <c r="AG169" s="18">
        <v>2020</v>
      </c>
      <c r="AH169" s="18">
        <v>2022</v>
      </c>
    </row>
    <row r="170" spans="1:34" ht="84.95" customHeight="1" x14ac:dyDescent="0.35">
      <c r="A170" s="18">
        <v>152</v>
      </c>
      <c r="B170" s="18" t="s">
        <v>27</v>
      </c>
      <c r="C170" s="18" t="s">
        <v>303</v>
      </c>
      <c r="D170" s="18">
        <v>1960</v>
      </c>
      <c r="E170" s="18">
        <v>2</v>
      </c>
      <c r="F170" s="18">
        <v>2</v>
      </c>
      <c r="G170" s="27">
        <v>675.7</v>
      </c>
      <c r="H170" s="27">
        <v>634.1</v>
      </c>
      <c r="I170" s="27">
        <v>376.4</v>
      </c>
      <c r="J170" s="18">
        <v>29</v>
      </c>
      <c r="K170" s="18" t="s">
        <v>160</v>
      </c>
      <c r="L170" s="18" t="s">
        <v>30</v>
      </c>
      <c r="M170" s="18"/>
      <c r="N170" s="6"/>
      <c r="O170" s="6"/>
      <c r="P170" s="6"/>
      <c r="Q170" s="6"/>
      <c r="R170" s="6"/>
      <c r="S170" s="6"/>
      <c r="T170" s="9"/>
      <c r="U170" s="6"/>
      <c r="V170" s="6">
        <v>5580893.4199999999</v>
      </c>
      <c r="W170" s="6"/>
      <c r="X170" s="6"/>
      <c r="Y170" s="6"/>
      <c r="Z170" s="6">
        <v>343505.71</v>
      </c>
      <c r="AA170" s="6"/>
      <c r="AB170" s="6">
        <f t="shared" si="13"/>
        <v>5924399.1299999999</v>
      </c>
      <c r="AC170" s="6"/>
      <c r="AD170" s="6"/>
      <c r="AE170" s="6">
        <f xml:space="preserve"> SUM(V170+Z170)</f>
        <v>5924399.1299999999</v>
      </c>
      <c r="AF170" s="7"/>
      <c r="AG170" s="18">
        <v>2021</v>
      </c>
      <c r="AH170" s="18">
        <v>2022</v>
      </c>
    </row>
    <row r="171" spans="1:34" ht="84.95" customHeight="1" x14ac:dyDescent="0.35">
      <c r="A171" s="18">
        <v>153</v>
      </c>
      <c r="B171" s="18" t="s">
        <v>27</v>
      </c>
      <c r="C171" s="18" t="s">
        <v>170</v>
      </c>
      <c r="D171" s="18">
        <v>1959</v>
      </c>
      <c r="E171" s="18">
        <v>6</v>
      </c>
      <c r="F171" s="18">
        <v>4</v>
      </c>
      <c r="G171" s="28" t="s">
        <v>171</v>
      </c>
      <c r="H171" s="27">
        <v>4410.6000000000004</v>
      </c>
      <c r="I171" s="27" t="s">
        <v>32</v>
      </c>
      <c r="J171" s="18" t="s">
        <v>32</v>
      </c>
      <c r="K171" s="18" t="s">
        <v>29</v>
      </c>
      <c r="L171" s="18" t="s">
        <v>30</v>
      </c>
      <c r="M171" s="18" t="s">
        <v>12</v>
      </c>
      <c r="N171" s="6"/>
      <c r="O171" s="6"/>
      <c r="P171" s="6"/>
      <c r="Q171" s="6"/>
      <c r="R171" s="6"/>
      <c r="S171" s="6"/>
      <c r="T171" s="9"/>
      <c r="U171" s="6"/>
      <c r="V171" s="6">
        <v>15031255.550000001</v>
      </c>
      <c r="W171" s="6"/>
      <c r="X171" s="6"/>
      <c r="Y171" s="6"/>
      <c r="Z171" s="6">
        <v>641542.80000000005</v>
      </c>
      <c r="AA171" s="6"/>
      <c r="AB171" s="6">
        <f t="shared" si="13"/>
        <v>15672798.350000001</v>
      </c>
      <c r="AC171" s="6"/>
      <c r="AD171" s="6"/>
      <c r="AE171" s="6">
        <f t="shared" ref="AE171:AE229" si="14">SUM(N171:Z171)</f>
        <v>15672798.350000001</v>
      </c>
      <c r="AF171" s="7"/>
      <c r="AG171" s="18">
        <v>2020</v>
      </c>
      <c r="AH171" s="18">
        <v>2022</v>
      </c>
    </row>
    <row r="172" spans="1:34" ht="84.95" customHeight="1" x14ac:dyDescent="0.35">
      <c r="A172" s="18">
        <v>154</v>
      </c>
      <c r="B172" s="18" t="s">
        <v>27</v>
      </c>
      <c r="C172" s="18" t="s">
        <v>307</v>
      </c>
      <c r="D172" s="18">
        <v>1956</v>
      </c>
      <c r="E172" s="18">
        <v>4</v>
      </c>
      <c r="F172" s="18">
        <v>3</v>
      </c>
      <c r="G172" s="28">
        <v>3312.7</v>
      </c>
      <c r="H172" s="28">
        <v>3312.7</v>
      </c>
      <c r="I172" s="27">
        <v>2449.6</v>
      </c>
      <c r="J172" s="18">
        <v>76</v>
      </c>
      <c r="K172" s="18" t="s">
        <v>29</v>
      </c>
      <c r="L172" s="18" t="s">
        <v>30</v>
      </c>
      <c r="M172" s="18"/>
      <c r="N172" s="6"/>
      <c r="O172" s="6"/>
      <c r="P172" s="6"/>
      <c r="Q172" s="6"/>
      <c r="R172" s="6"/>
      <c r="S172" s="6"/>
      <c r="T172" s="9"/>
      <c r="U172" s="6"/>
      <c r="V172" s="6">
        <v>8950824.3399999999</v>
      </c>
      <c r="W172" s="6"/>
      <c r="X172" s="6"/>
      <c r="Y172" s="6"/>
      <c r="Z172" s="6">
        <v>1078807.81</v>
      </c>
      <c r="AA172" s="6"/>
      <c r="AB172" s="6">
        <f t="shared" si="13"/>
        <v>10029632.15</v>
      </c>
      <c r="AC172" s="6"/>
      <c r="AD172" s="6"/>
      <c r="AE172" s="6">
        <f>AB172</f>
        <v>10029632.15</v>
      </c>
      <c r="AF172" s="7"/>
      <c r="AG172" s="18">
        <v>2021</v>
      </c>
      <c r="AH172" s="18">
        <v>2022</v>
      </c>
    </row>
    <row r="173" spans="1:34" ht="84.95" customHeight="1" x14ac:dyDescent="0.35">
      <c r="A173" s="18">
        <v>155</v>
      </c>
      <c r="B173" s="18" t="s">
        <v>27</v>
      </c>
      <c r="C173" s="18" t="s">
        <v>299</v>
      </c>
      <c r="D173" s="18">
        <v>1960</v>
      </c>
      <c r="E173" s="18">
        <v>9</v>
      </c>
      <c r="F173" s="18">
        <v>1</v>
      </c>
      <c r="G173" s="28">
        <v>2756.7</v>
      </c>
      <c r="H173" s="27">
        <v>2215.8000000000002</v>
      </c>
      <c r="I173" s="27">
        <v>1539.5</v>
      </c>
      <c r="J173" s="18">
        <v>62</v>
      </c>
      <c r="K173" s="18" t="s">
        <v>29</v>
      </c>
      <c r="L173" s="18" t="s">
        <v>30</v>
      </c>
      <c r="M173" s="18"/>
      <c r="N173" s="6"/>
      <c r="O173" s="6"/>
      <c r="P173" s="6"/>
      <c r="Q173" s="6"/>
      <c r="R173" s="6"/>
      <c r="S173" s="6"/>
      <c r="T173" s="9"/>
      <c r="U173" s="6"/>
      <c r="V173" s="6">
        <v>9528814.7899999991</v>
      </c>
      <c r="W173" s="6"/>
      <c r="X173" s="6"/>
      <c r="Y173" s="6"/>
      <c r="Z173" s="6">
        <v>884474.28</v>
      </c>
      <c r="AA173" s="6"/>
      <c r="AB173" s="6">
        <f t="shared" si="13"/>
        <v>10413289.069999998</v>
      </c>
      <c r="AC173" s="6"/>
      <c r="AD173" s="6"/>
      <c r="AE173" s="6">
        <f t="shared" ref="AE173:AE175" si="15">AB173</f>
        <v>10413289.069999998</v>
      </c>
      <c r="AF173" s="7"/>
      <c r="AG173" s="18">
        <v>2021</v>
      </c>
      <c r="AH173" s="18">
        <v>2022</v>
      </c>
    </row>
    <row r="174" spans="1:34" ht="84.95" customHeight="1" x14ac:dyDescent="0.35">
      <c r="A174" s="18">
        <v>156</v>
      </c>
      <c r="B174" s="18" t="s">
        <v>27</v>
      </c>
      <c r="C174" s="18" t="s">
        <v>306</v>
      </c>
      <c r="D174" s="18">
        <v>1960</v>
      </c>
      <c r="E174" s="18">
        <v>4</v>
      </c>
      <c r="F174" s="18">
        <v>3</v>
      </c>
      <c r="G174" s="28">
        <v>2707.4</v>
      </c>
      <c r="H174" s="27">
        <v>2281.5</v>
      </c>
      <c r="I174" s="27">
        <v>1278.5</v>
      </c>
      <c r="J174" s="18">
        <v>62</v>
      </c>
      <c r="K174" s="18" t="s">
        <v>29</v>
      </c>
      <c r="L174" s="18" t="s">
        <v>30</v>
      </c>
      <c r="M174" s="18"/>
      <c r="N174" s="6"/>
      <c r="O174" s="6"/>
      <c r="P174" s="6"/>
      <c r="Q174" s="6"/>
      <c r="R174" s="6"/>
      <c r="S174" s="6"/>
      <c r="T174" s="9"/>
      <c r="U174" s="6"/>
      <c r="V174" s="6">
        <v>8420999.7599999998</v>
      </c>
      <c r="W174" s="6"/>
      <c r="X174" s="6"/>
      <c r="Y174" s="6"/>
      <c r="Z174" s="6">
        <v>876232.39</v>
      </c>
      <c r="AA174" s="6"/>
      <c r="AB174" s="6">
        <f t="shared" si="13"/>
        <v>9297232.1500000004</v>
      </c>
      <c r="AC174" s="6"/>
      <c r="AD174" s="6"/>
      <c r="AE174" s="6">
        <f t="shared" si="15"/>
        <v>9297232.1500000004</v>
      </c>
      <c r="AF174" s="7"/>
      <c r="AG174" s="18">
        <v>2021</v>
      </c>
      <c r="AH174" s="18">
        <v>2022</v>
      </c>
    </row>
    <row r="175" spans="1:34" ht="84.95" customHeight="1" x14ac:dyDescent="0.35">
      <c r="A175" s="18">
        <v>157</v>
      </c>
      <c r="B175" s="18" t="s">
        <v>27</v>
      </c>
      <c r="C175" s="18" t="s">
        <v>297</v>
      </c>
      <c r="D175" s="18">
        <v>1970</v>
      </c>
      <c r="E175" s="18">
        <v>5</v>
      </c>
      <c r="F175" s="18">
        <v>4</v>
      </c>
      <c r="G175" s="28">
        <v>3289.8</v>
      </c>
      <c r="H175" s="27">
        <v>3244.7</v>
      </c>
      <c r="I175" s="27">
        <v>2716.9</v>
      </c>
      <c r="J175" s="18">
        <v>129</v>
      </c>
      <c r="K175" s="18" t="s">
        <v>29</v>
      </c>
      <c r="L175" s="18" t="s">
        <v>30</v>
      </c>
      <c r="M175" s="18"/>
      <c r="N175" s="6"/>
      <c r="O175" s="6"/>
      <c r="P175" s="6"/>
      <c r="Q175" s="6"/>
      <c r="R175" s="6"/>
      <c r="S175" s="6"/>
      <c r="T175" s="9"/>
      <c r="U175" s="6"/>
      <c r="V175" s="6">
        <v>12814350.859999999</v>
      </c>
      <c r="W175" s="6"/>
      <c r="X175" s="6"/>
      <c r="Y175" s="6"/>
      <c r="Z175" s="6">
        <v>1016488.86</v>
      </c>
      <c r="AA175" s="6"/>
      <c r="AB175" s="6">
        <f t="shared" si="13"/>
        <v>13830839.719999999</v>
      </c>
      <c r="AC175" s="6"/>
      <c r="AD175" s="6"/>
      <c r="AE175" s="6">
        <f t="shared" si="15"/>
        <v>13830839.719999999</v>
      </c>
      <c r="AF175" s="7"/>
      <c r="AG175" s="18">
        <v>2021</v>
      </c>
      <c r="AH175" s="18">
        <v>2022</v>
      </c>
    </row>
    <row r="176" spans="1:34" ht="113.25" customHeight="1" x14ac:dyDescent="0.35">
      <c r="A176" s="18">
        <v>158</v>
      </c>
      <c r="B176" s="18" t="s">
        <v>27</v>
      </c>
      <c r="C176" s="18" t="s">
        <v>172</v>
      </c>
      <c r="D176" s="18">
        <v>1965</v>
      </c>
      <c r="E176" s="18">
        <v>5</v>
      </c>
      <c r="F176" s="18">
        <v>4</v>
      </c>
      <c r="G176" s="28" t="s">
        <v>173</v>
      </c>
      <c r="H176" s="27">
        <v>2569.1999999999998</v>
      </c>
      <c r="I176" s="27" t="s">
        <v>32</v>
      </c>
      <c r="J176" s="18" t="s">
        <v>32</v>
      </c>
      <c r="K176" s="18" t="s">
        <v>29</v>
      </c>
      <c r="L176" s="18" t="s">
        <v>287</v>
      </c>
      <c r="M176" s="18"/>
      <c r="N176" s="6"/>
      <c r="O176" s="6"/>
      <c r="P176" s="6"/>
      <c r="Q176" s="6"/>
      <c r="R176" s="6">
        <v>961324.71</v>
      </c>
      <c r="S176" s="6"/>
      <c r="T176" s="9"/>
      <c r="U176" s="6"/>
      <c r="V176" s="6"/>
      <c r="W176" s="6"/>
      <c r="X176" s="9"/>
      <c r="Y176" s="9"/>
      <c r="Z176" s="6">
        <v>55000</v>
      </c>
      <c r="AA176" s="6"/>
      <c r="AB176" s="6">
        <f t="shared" si="13"/>
        <v>1016324.71</v>
      </c>
      <c r="AC176" s="6"/>
      <c r="AD176" s="6"/>
      <c r="AE176" s="6">
        <f t="shared" si="14"/>
        <v>1016324.71</v>
      </c>
      <c r="AF176" s="7"/>
      <c r="AG176" s="18">
        <v>2020</v>
      </c>
      <c r="AH176" s="18">
        <v>2022</v>
      </c>
    </row>
    <row r="177" spans="1:34" ht="84.95" customHeight="1" x14ac:dyDescent="0.35">
      <c r="A177" s="18">
        <v>159</v>
      </c>
      <c r="B177" s="18" t="s">
        <v>27</v>
      </c>
      <c r="C177" s="18" t="s">
        <v>194</v>
      </c>
      <c r="D177" s="8">
        <v>1967</v>
      </c>
      <c r="E177" s="18">
        <v>5</v>
      </c>
      <c r="F177" s="18">
        <v>4</v>
      </c>
      <c r="G177" s="27">
        <v>3363.7</v>
      </c>
      <c r="H177" s="27">
        <v>3249.5</v>
      </c>
      <c r="I177" s="27" t="s">
        <v>32</v>
      </c>
      <c r="J177" s="18" t="s">
        <v>32</v>
      </c>
      <c r="K177" s="56" t="s">
        <v>29</v>
      </c>
      <c r="L177" s="18" t="s">
        <v>30</v>
      </c>
      <c r="M177" s="18"/>
      <c r="N177" s="6"/>
      <c r="O177" s="6"/>
      <c r="P177" s="6"/>
      <c r="Q177" s="6"/>
      <c r="R177" s="6">
        <v>961324.71</v>
      </c>
      <c r="S177" s="6"/>
      <c r="T177" s="9"/>
      <c r="U177" s="6"/>
      <c r="V177" s="54"/>
      <c r="W177" s="6"/>
      <c r="X177" s="6"/>
      <c r="Y177" s="6"/>
      <c r="Z177" s="6">
        <v>55000</v>
      </c>
      <c r="AA177" s="6"/>
      <c r="AB177" s="6">
        <f>SUM(N177:Z177)</f>
        <v>1016324.71</v>
      </c>
      <c r="AC177" s="6"/>
      <c r="AD177" s="6"/>
      <c r="AE177" s="6">
        <f>SUM(N177:Z177)</f>
        <v>1016324.71</v>
      </c>
      <c r="AF177" s="7"/>
      <c r="AG177" s="18">
        <v>2020</v>
      </c>
      <c r="AH177" s="18">
        <v>2022</v>
      </c>
    </row>
    <row r="178" spans="1:34" ht="84.95" customHeight="1" x14ac:dyDescent="0.35">
      <c r="A178" s="18">
        <v>160</v>
      </c>
      <c r="B178" s="18" t="s">
        <v>27</v>
      </c>
      <c r="C178" s="18" t="s">
        <v>195</v>
      </c>
      <c r="D178" s="8">
        <v>1964</v>
      </c>
      <c r="E178" s="18">
        <v>5</v>
      </c>
      <c r="F178" s="18">
        <v>3</v>
      </c>
      <c r="G178" s="27">
        <v>2601.3000000000002</v>
      </c>
      <c r="H178" s="27">
        <v>2499.5</v>
      </c>
      <c r="I178" s="27" t="s">
        <v>32</v>
      </c>
      <c r="J178" s="18" t="s">
        <v>32</v>
      </c>
      <c r="K178" s="56" t="s">
        <v>29</v>
      </c>
      <c r="L178" s="18" t="s">
        <v>30</v>
      </c>
      <c r="M178" s="18"/>
      <c r="N178" s="6"/>
      <c r="O178" s="6"/>
      <c r="P178" s="6"/>
      <c r="Q178" s="6"/>
      <c r="R178" s="6">
        <v>961324.71</v>
      </c>
      <c r="S178" s="6"/>
      <c r="T178" s="9"/>
      <c r="U178" s="6"/>
      <c r="V178" s="54"/>
      <c r="W178" s="6"/>
      <c r="X178" s="6"/>
      <c r="Y178" s="6"/>
      <c r="Z178" s="6">
        <v>55000</v>
      </c>
      <c r="AA178" s="6"/>
      <c r="AB178" s="6">
        <f>SUM(N178:Z178)</f>
        <v>1016324.71</v>
      </c>
      <c r="AC178" s="6"/>
      <c r="AD178" s="6"/>
      <c r="AE178" s="6">
        <f>SUM(N178:Z178)</f>
        <v>1016324.71</v>
      </c>
      <c r="AF178" s="7"/>
      <c r="AG178" s="18">
        <v>2020</v>
      </c>
      <c r="AH178" s="18">
        <v>2022</v>
      </c>
    </row>
    <row r="179" spans="1:34" ht="84.95" customHeight="1" x14ac:dyDescent="0.35">
      <c r="A179" s="18">
        <v>161</v>
      </c>
      <c r="B179" s="18" t="s">
        <v>27</v>
      </c>
      <c r="C179" s="18" t="s">
        <v>304</v>
      </c>
      <c r="D179" s="8">
        <v>1962</v>
      </c>
      <c r="E179" s="18">
        <v>5</v>
      </c>
      <c r="F179" s="18">
        <v>4</v>
      </c>
      <c r="G179" s="27">
        <v>3176.7</v>
      </c>
      <c r="H179" s="27">
        <v>3176.7</v>
      </c>
      <c r="I179" s="27">
        <v>3123.5</v>
      </c>
      <c r="J179" s="18">
        <v>156</v>
      </c>
      <c r="K179" s="56" t="s">
        <v>29</v>
      </c>
      <c r="L179" s="18" t="s">
        <v>30</v>
      </c>
      <c r="M179" s="18"/>
      <c r="N179" s="6"/>
      <c r="O179" s="6"/>
      <c r="P179" s="6"/>
      <c r="Q179" s="6"/>
      <c r="R179" s="6"/>
      <c r="S179" s="6"/>
      <c r="T179" s="9"/>
      <c r="U179" s="6"/>
      <c r="V179" s="6">
        <v>12428527.300000001</v>
      </c>
      <c r="W179" s="6"/>
      <c r="X179" s="6"/>
      <c r="Y179" s="6"/>
      <c r="Z179" s="6">
        <v>516172.38</v>
      </c>
      <c r="AA179" s="6"/>
      <c r="AB179" s="6">
        <f>SUM(N179:Z179)</f>
        <v>12944699.680000002</v>
      </c>
      <c r="AC179" s="6"/>
      <c r="AD179" s="6"/>
      <c r="AE179" s="6">
        <f>AB179</f>
        <v>12944699.680000002</v>
      </c>
      <c r="AF179" s="7"/>
      <c r="AG179" s="18">
        <v>2021</v>
      </c>
      <c r="AH179" s="18">
        <v>2022</v>
      </c>
    </row>
    <row r="180" spans="1:34" ht="84.95" customHeight="1" x14ac:dyDescent="0.35">
      <c r="A180" s="18">
        <v>162</v>
      </c>
      <c r="B180" s="18" t="s">
        <v>27</v>
      </c>
      <c r="C180" s="18" t="s">
        <v>174</v>
      </c>
      <c r="D180" s="18">
        <v>1960</v>
      </c>
      <c r="E180" s="18">
        <v>5</v>
      </c>
      <c r="F180" s="18">
        <v>3</v>
      </c>
      <c r="G180" s="28" t="s">
        <v>175</v>
      </c>
      <c r="H180" s="27">
        <v>2538.5</v>
      </c>
      <c r="I180" s="27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6"/>
      <c r="W180" s="6"/>
      <c r="X180" s="6"/>
      <c r="Y180" s="6"/>
      <c r="Z180" s="6">
        <v>55000</v>
      </c>
      <c r="AA180" s="6"/>
      <c r="AB180" s="6">
        <f t="shared" si="13"/>
        <v>1016324.71</v>
      </c>
      <c r="AC180" s="6"/>
      <c r="AD180" s="6"/>
      <c r="AE180" s="6">
        <f t="shared" si="14"/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176</v>
      </c>
      <c r="D181" s="18">
        <v>1964</v>
      </c>
      <c r="E181" s="18">
        <v>5</v>
      </c>
      <c r="F181" s="18">
        <v>4</v>
      </c>
      <c r="G181" s="28" t="s">
        <v>177</v>
      </c>
      <c r="H181" s="27">
        <v>3519.5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6"/>
      <c r="W181" s="6"/>
      <c r="X181" s="6"/>
      <c r="Y181" s="6"/>
      <c r="Z181" s="6">
        <v>55000</v>
      </c>
      <c r="AA181" s="6"/>
      <c r="AB181" s="6">
        <f t="shared" si="13"/>
        <v>1016324.71</v>
      </c>
      <c r="AC181" s="6"/>
      <c r="AD181" s="6"/>
      <c r="AE181" s="6">
        <f t="shared" si="14"/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314</v>
      </c>
      <c r="D182" s="18">
        <v>1959</v>
      </c>
      <c r="E182" s="18">
        <v>5</v>
      </c>
      <c r="F182" s="18">
        <v>5</v>
      </c>
      <c r="G182" s="28">
        <v>6510.9</v>
      </c>
      <c r="H182" s="27">
        <v>4901</v>
      </c>
      <c r="I182" s="27">
        <v>2833.1</v>
      </c>
      <c r="J182" s="18">
        <v>202</v>
      </c>
      <c r="K182" s="18" t="s">
        <v>29</v>
      </c>
      <c r="L182" s="18" t="s">
        <v>30</v>
      </c>
      <c r="M182" s="18"/>
      <c r="N182" s="6"/>
      <c r="O182" s="6"/>
      <c r="P182" s="6"/>
      <c r="Q182" s="6"/>
      <c r="R182" s="6"/>
      <c r="S182" s="6"/>
      <c r="T182" s="9"/>
      <c r="U182" s="6"/>
      <c r="V182" s="6">
        <v>25488224.370000001</v>
      </c>
      <c r="W182" s="6"/>
      <c r="X182" s="6">
        <v>22714078.620000001</v>
      </c>
      <c r="Y182" s="6"/>
      <c r="Z182" s="6">
        <v>1412987.66</v>
      </c>
      <c r="AA182" s="6"/>
      <c r="AB182" s="6">
        <f>SUM(V182+X182+Z182)</f>
        <v>49615290.649999999</v>
      </c>
      <c r="AC182" s="6">
        <f>SUM(V182+X182+Z182)</f>
        <v>49615290.649999999</v>
      </c>
      <c r="AD182" s="6"/>
      <c r="AE182" s="6"/>
      <c r="AF182" s="7"/>
      <c r="AG182" s="18">
        <v>2021</v>
      </c>
      <c r="AH182" s="18">
        <v>2022</v>
      </c>
    </row>
    <row r="183" spans="1:34" ht="84.95" customHeight="1" x14ac:dyDescent="0.35">
      <c r="A183" s="18">
        <v>165</v>
      </c>
      <c r="B183" s="18" t="s">
        <v>27</v>
      </c>
      <c r="C183" s="18" t="s">
        <v>313</v>
      </c>
      <c r="D183" s="18">
        <v>1960</v>
      </c>
      <c r="E183" s="18">
        <v>6</v>
      </c>
      <c r="F183" s="18">
        <v>7</v>
      </c>
      <c r="G183" s="28">
        <v>9188.2000000000007</v>
      </c>
      <c r="H183" s="27">
        <v>7471.4</v>
      </c>
      <c r="I183" s="27">
        <v>3321.4</v>
      </c>
      <c r="J183" s="18">
        <v>188</v>
      </c>
      <c r="K183" s="18" t="s">
        <v>29</v>
      </c>
      <c r="L183" s="18" t="s">
        <v>30</v>
      </c>
      <c r="M183" s="18"/>
      <c r="N183" s="6"/>
      <c r="O183" s="6"/>
      <c r="P183" s="6"/>
      <c r="Q183" s="6"/>
      <c r="R183" s="6"/>
      <c r="S183" s="6"/>
      <c r="T183" s="9"/>
      <c r="U183" s="6"/>
      <c r="V183" s="6">
        <v>25354399.16</v>
      </c>
      <c r="W183" s="6"/>
      <c r="X183" s="6">
        <v>22594818.989999998</v>
      </c>
      <c r="Y183" s="6"/>
      <c r="Z183" s="6">
        <v>1657171.25</v>
      </c>
      <c r="AA183" s="6"/>
      <c r="AB183" s="6">
        <f>SUM(V183+X183+Z183)</f>
        <v>49606389.399999999</v>
      </c>
      <c r="AC183" s="6">
        <f>SUM(V183+X183+Z183)</f>
        <v>49606389.399999999</v>
      </c>
      <c r="AD183" s="6"/>
      <c r="AE183" s="6"/>
      <c r="AF183" s="7"/>
      <c r="AG183" s="18">
        <v>2021</v>
      </c>
      <c r="AH183" s="18">
        <v>2022</v>
      </c>
    </row>
    <row r="184" spans="1:34" ht="84.95" customHeight="1" x14ac:dyDescent="0.35">
      <c r="A184" s="18">
        <v>166</v>
      </c>
      <c r="B184" s="18" t="s">
        <v>27</v>
      </c>
      <c r="C184" s="18" t="s">
        <v>253</v>
      </c>
      <c r="D184" s="18">
        <v>1960</v>
      </c>
      <c r="E184" s="18">
        <v>4</v>
      </c>
      <c r="F184" s="18">
        <v>2</v>
      </c>
      <c r="G184" s="28">
        <v>1664.6</v>
      </c>
      <c r="H184" s="27">
        <v>1545.1</v>
      </c>
      <c r="I184" s="18" t="s">
        <v>32</v>
      </c>
      <c r="J184" s="18" t="s">
        <v>32</v>
      </c>
      <c r="K184" s="18" t="s">
        <v>29</v>
      </c>
      <c r="L184" s="18" t="s">
        <v>30</v>
      </c>
      <c r="M184" s="1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>
        <v>6025741.75</v>
      </c>
      <c r="Y184" s="6"/>
      <c r="Z184" s="6">
        <v>591280.6</v>
      </c>
      <c r="AA184" s="6"/>
      <c r="AB184" s="6">
        <f>SUM(X184+Z184)</f>
        <v>6617022.3499999996</v>
      </c>
      <c r="AC184" s="6">
        <f>SUM(X184+Z184)</f>
        <v>6617022.3499999996</v>
      </c>
      <c r="AD184" s="6"/>
      <c r="AE184" s="6"/>
      <c r="AF184" s="7"/>
      <c r="AG184" s="18">
        <v>2021</v>
      </c>
      <c r="AH184" s="18">
        <v>2022</v>
      </c>
    </row>
    <row r="185" spans="1:34" ht="113.25" customHeight="1" x14ac:dyDescent="0.35">
      <c r="A185" s="18">
        <v>167</v>
      </c>
      <c r="B185" s="18" t="s">
        <v>27</v>
      </c>
      <c r="C185" s="18" t="s">
        <v>126</v>
      </c>
      <c r="D185" s="18">
        <v>1963</v>
      </c>
      <c r="E185" s="18">
        <v>5</v>
      </c>
      <c r="F185" s="18">
        <v>2</v>
      </c>
      <c r="G185" s="28">
        <v>1996.8</v>
      </c>
      <c r="H185" s="27">
        <v>1878.3</v>
      </c>
      <c r="I185" s="18" t="s">
        <v>32</v>
      </c>
      <c r="J185" s="18" t="s">
        <v>32</v>
      </c>
      <c r="K185" s="18" t="s">
        <v>29</v>
      </c>
      <c r="L185" s="18" t="s">
        <v>287</v>
      </c>
      <c r="M185" s="18"/>
      <c r="N185" s="6"/>
      <c r="O185" s="6"/>
      <c r="P185" s="6"/>
      <c r="Q185" s="6"/>
      <c r="R185" s="6"/>
      <c r="S185" s="6"/>
      <c r="T185" s="6"/>
      <c r="U185" s="6"/>
      <c r="V185" s="6" t="s">
        <v>154</v>
      </c>
      <c r="W185" s="6"/>
      <c r="X185" s="6" t="s">
        <v>154</v>
      </c>
      <c r="Y185" s="6"/>
      <c r="Z185" s="6">
        <v>530577.52</v>
      </c>
      <c r="AA185" s="6"/>
      <c r="AB185" s="6">
        <f>SUM(N185:Z185)</f>
        <v>530577.52</v>
      </c>
      <c r="AC185" s="6">
        <v>530577.52</v>
      </c>
      <c r="AD185" s="6"/>
      <c r="AE185" s="6"/>
      <c r="AF185" s="7"/>
      <c r="AG185" s="18">
        <v>2020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129</v>
      </c>
      <c r="D186" s="18">
        <v>1950</v>
      </c>
      <c r="E186" s="18">
        <v>4</v>
      </c>
      <c r="F186" s="18">
        <v>3</v>
      </c>
      <c r="G186" s="28">
        <v>2135.1</v>
      </c>
      <c r="H186" s="18" t="s">
        <v>32</v>
      </c>
      <c r="I186" s="18">
        <v>1704.9</v>
      </c>
      <c r="J186" s="18" t="s">
        <v>32</v>
      </c>
      <c r="K186" s="18" t="s">
        <v>29</v>
      </c>
      <c r="L186" s="18" t="s">
        <v>30</v>
      </c>
      <c r="M186" s="18" t="s">
        <v>12</v>
      </c>
      <c r="N186" s="6"/>
      <c r="O186" s="6"/>
      <c r="P186" s="6"/>
      <c r="Q186" s="6"/>
      <c r="R186" s="6"/>
      <c r="S186" s="6"/>
      <c r="T186" s="6"/>
      <c r="U186" s="6"/>
      <c r="V186" s="6" t="s">
        <v>154</v>
      </c>
      <c r="W186" s="6"/>
      <c r="X186" s="6" t="s">
        <v>154</v>
      </c>
      <c r="Y186" s="6"/>
      <c r="Z186" s="6">
        <v>919846.07</v>
      </c>
      <c r="AA186" s="6"/>
      <c r="AB186" s="6">
        <f>SUM(N186:Z186)</f>
        <v>919846.07</v>
      </c>
      <c r="AC186" s="6">
        <v>919846.07</v>
      </c>
      <c r="AD186" s="6"/>
      <c r="AE186" s="6"/>
      <c r="AF186" s="7"/>
      <c r="AG186" s="18">
        <v>2020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130</v>
      </c>
      <c r="D187" s="18">
        <v>1935</v>
      </c>
      <c r="E187" s="18">
        <v>3</v>
      </c>
      <c r="F187" s="18">
        <v>3</v>
      </c>
      <c r="G187" s="28">
        <v>2068.4</v>
      </c>
      <c r="H187" s="27">
        <v>1925.7</v>
      </c>
      <c r="I187" s="18" t="s">
        <v>32</v>
      </c>
      <c r="J187" s="18" t="s">
        <v>32</v>
      </c>
      <c r="K187" s="18" t="s">
        <v>29</v>
      </c>
      <c r="L187" s="18" t="s">
        <v>30</v>
      </c>
      <c r="M187" s="18"/>
      <c r="N187" s="6"/>
      <c r="O187" s="6"/>
      <c r="P187" s="6"/>
      <c r="Q187" s="6"/>
      <c r="R187" s="6"/>
      <c r="S187" s="6"/>
      <c r="T187" s="6"/>
      <c r="U187" s="6"/>
      <c r="V187" s="6" t="s">
        <v>154</v>
      </c>
      <c r="W187" s="6"/>
      <c r="X187" s="6"/>
      <c r="Y187" s="6"/>
      <c r="Z187" s="6" t="s">
        <v>154</v>
      </c>
      <c r="AA187" s="6"/>
      <c r="AB187" s="6" t="s">
        <v>154</v>
      </c>
      <c r="AC187" s="6" t="s">
        <v>154</v>
      </c>
      <c r="AD187" s="6"/>
      <c r="AE187" s="6"/>
      <c r="AF187" s="7"/>
      <c r="AG187" s="18">
        <v>2020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255</v>
      </c>
      <c r="D188" s="18">
        <v>1940</v>
      </c>
      <c r="E188" s="18">
        <v>6</v>
      </c>
      <c r="F188" s="18">
        <v>6</v>
      </c>
      <c r="G188" s="28">
        <v>10130</v>
      </c>
      <c r="H188" s="27">
        <v>9201.1</v>
      </c>
      <c r="I188" s="18" t="s">
        <v>32</v>
      </c>
      <c r="J188" s="18">
        <v>181</v>
      </c>
      <c r="K188" s="18" t="s">
        <v>65</v>
      </c>
      <c r="L188" s="18" t="s">
        <v>288</v>
      </c>
      <c r="M188" s="18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6" t="s">
        <v>154</v>
      </c>
      <c r="Y188" s="6"/>
      <c r="Z188" s="6">
        <v>787017.14</v>
      </c>
      <c r="AA188" s="6"/>
      <c r="AB188" s="6">
        <f>SUM(N188:Z188)</f>
        <v>787017.14</v>
      </c>
      <c r="AC188" s="6">
        <f>SUM(O188:AA188)</f>
        <v>787017.14</v>
      </c>
      <c r="AD188" s="6"/>
      <c r="AE188" s="6"/>
      <c r="AF188" s="7"/>
      <c r="AG188" s="18">
        <v>2020</v>
      </c>
      <c r="AH188" s="18">
        <v>2021</v>
      </c>
    </row>
    <row r="189" spans="1:34" ht="84.95" customHeight="1" x14ac:dyDescent="0.35">
      <c r="A189" s="18">
        <v>171</v>
      </c>
      <c r="B189" s="18" t="s">
        <v>27</v>
      </c>
      <c r="C189" s="18" t="s">
        <v>178</v>
      </c>
      <c r="D189" s="18">
        <v>1973</v>
      </c>
      <c r="E189" s="18">
        <v>9</v>
      </c>
      <c r="F189" s="18">
        <v>1</v>
      </c>
      <c r="G189" s="28">
        <v>3315.6</v>
      </c>
      <c r="H189" s="27">
        <v>2836.7</v>
      </c>
      <c r="I189" s="18" t="s">
        <v>32</v>
      </c>
      <c r="J189" s="18" t="s">
        <v>32</v>
      </c>
      <c r="K189" s="18" t="s">
        <v>65</v>
      </c>
      <c r="L189" s="18" t="s">
        <v>288</v>
      </c>
      <c r="M189" s="18"/>
      <c r="N189" s="6"/>
      <c r="O189" s="6"/>
      <c r="P189" s="6"/>
      <c r="Q189" s="6"/>
      <c r="R189" s="6"/>
      <c r="S189" s="6"/>
      <c r="T189" s="6"/>
      <c r="U189" s="6">
        <v>2784151.65</v>
      </c>
      <c r="V189" s="6"/>
      <c r="W189" s="6"/>
      <c r="X189" s="6"/>
      <c r="Y189" s="6"/>
      <c r="Z189" s="6">
        <v>71388.5</v>
      </c>
      <c r="AA189" s="6"/>
      <c r="AB189" s="6">
        <f t="shared" si="13"/>
        <v>2855540.15</v>
      </c>
      <c r="AC189" s="6"/>
      <c r="AD189" s="6"/>
      <c r="AE189" s="6">
        <v>2855540.15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256</v>
      </c>
      <c r="D190" s="18">
        <v>1950</v>
      </c>
      <c r="E190" s="18">
        <v>6</v>
      </c>
      <c r="F190" s="18">
        <v>8</v>
      </c>
      <c r="G190" s="28">
        <v>9989.2000000000007</v>
      </c>
      <c r="H190" s="27">
        <v>8923.2999999999993</v>
      </c>
      <c r="I190" s="18" t="s">
        <v>32</v>
      </c>
      <c r="J190" s="18">
        <v>179</v>
      </c>
      <c r="K190" s="18" t="s">
        <v>29</v>
      </c>
      <c r="L190" s="18" t="s">
        <v>30</v>
      </c>
      <c r="M190" s="18" t="s">
        <v>12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 t="s">
        <v>154</v>
      </c>
      <c r="Y190" s="6"/>
      <c r="Z190" s="6">
        <v>1247869.6200000001</v>
      </c>
      <c r="AA190" s="6"/>
      <c r="AB190" s="6">
        <f t="shared" ref="AB190:AC192" si="16">SUM(N190:Z190)</f>
        <v>1247869.6200000001</v>
      </c>
      <c r="AC190" s="6">
        <f t="shared" si="16"/>
        <v>1247869.6200000001</v>
      </c>
      <c r="AD190" s="6"/>
      <c r="AE190" s="6"/>
      <c r="AF190" s="7"/>
      <c r="AG190" s="18">
        <v>2020</v>
      </c>
      <c r="AH190" s="18">
        <v>2021</v>
      </c>
    </row>
    <row r="191" spans="1:34" ht="84.95" customHeight="1" x14ac:dyDescent="0.35">
      <c r="A191" s="18">
        <v>173</v>
      </c>
      <c r="B191" s="18" t="s">
        <v>27</v>
      </c>
      <c r="C191" s="18" t="s">
        <v>136</v>
      </c>
      <c r="D191" s="18">
        <v>1938</v>
      </c>
      <c r="E191" s="18">
        <v>8</v>
      </c>
      <c r="F191" s="18">
        <v>9</v>
      </c>
      <c r="G191" s="28">
        <v>11111.8</v>
      </c>
      <c r="H191" s="27">
        <v>9447</v>
      </c>
      <c r="I191" s="18" t="s">
        <v>32</v>
      </c>
      <c r="J191" s="18" t="s">
        <v>32</v>
      </c>
      <c r="K191" s="18" t="s">
        <v>29</v>
      </c>
      <c r="L191" s="18" t="s">
        <v>30</v>
      </c>
      <c r="M191" s="18" t="s">
        <v>12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>
        <v>33959935.75</v>
      </c>
      <c r="Y191" s="6"/>
      <c r="Z191" s="6">
        <v>1414561.15</v>
      </c>
      <c r="AA191" s="6"/>
      <c r="AB191" s="6">
        <f t="shared" si="16"/>
        <v>35374496.899999999</v>
      </c>
      <c r="AC191" s="6">
        <f t="shared" si="16"/>
        <v>35374496.899999999</v>
      </c>
      <c r="AD191" s="6"/>
      <c r="AE191" s="6"/>
      <c r="AF191" s="7"/>
      <c r="AG191" s="18">
        <v>2020</v>
      </c>
      <c r="AH191" s="18">
        <v>2021</v>
      </c>
    </row>
    <row r="192" spans="1:34" ht="84.95" customHeight="1" x14ac:dyDescent="0.35">
      <c r="A192" s="18">
        <v>174</v>
      </c>
      <c r="B192" s="18" t="s">
        <v>27</v>
      </c>
      <c r="C192" s="18" t="s">
        <v>137</v>
      </c>
      <c r="D192" s="18">
        <v>1937</v>
      </c>
      <c r="E192" s="18">
        <v>5</v>
      </c>
      <c r="F192" s="18">
        <v>5</v>
      </c>
      <c r="G192" s="28">
        <v>3925.7</v>
      </c>
      <c r="H192" s="27">
        <v>3557.1</v>
      </c>
      <c r="I192" s="18" t="s">
        <v>32</v>
      </c>
      <c r="J192" s="18" t="s">
        <v>32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6"/>
      <c r="U192" s="6"/>
      <c r="V192" s="6" t="s">
        <v>154</v>
      </c>
      <c r="W192" s="6"/>
      <c r="X192" s="6" t="s">
        <v>154</v>
      </c>
      <c r="Y192" s="6"/>
      <c r="Z192" s="6">
        <v>1893652.16</v>
      </c>
      <c r="AA192" s="6"/>
      <c r="AB192" s="6">
        <f t="shared" si="16"/>
        <v>1893652.16</v>
      </c>
      <c r="AC192" s="6">
        <f t="shared" si="16"/>
        <v>1893652.16</v>
      </c>
      <c r="AD192" s="6"/>
      <c r="AE192" s="6"/>
      <c r="AF192" s="7"/>
      <c r="AG192" s="18">
        <v>2020</v>
      </c>
      <c r="AH192" s="18">
        <v>2021</v>
      </c>
    </row>
    <row r="193" spans="1:34" ht="84.95" customHeight="1" x14ac:dyDescent="0.35">
      <c r="A193" s="18">
        <v>175</v>
      </c>
      <c r="B193" s="18" t="s">
        <v>27</v>
      </c>
      <c r="C193" s="18" t="s">
        <v>138</v>
      </c>
      <c r="D193" s="18">
        <v>1934</v>
      </c>
      <c r="E193" s="18">
        <v>5</v>
      </c>
      <c r="F193" s="18">
        <v>5</v>
      </c>
      <c r="G193" s="28">
        <v>4540</v>
      </c>
      <c r="H193" s="27">
        <v>4140.2</v>
      </c>
      <c r="I193" s="18" t="s">
        <v>32</v>
      </c>
      <c r="J193" s="18" t="s">
        <v>32</v>
      </c>
      <c r="K193" s="18" t="s">
        <v>29</v>
      </c>
      <c r="L193" s="18" t="s">
        <v>30</v>
      </c>
      <c r="M193" s="18"/>
      <c r="N193" s="6"/>
      <c r="O193" s="6"/>
      <c r="P193" s="6"/>
      <c r="Q193" s="6"/>
      <c r="R193" s="6"/>
      <c r="S193" s="6"/>
      <c r="T193" s="6"/>
      <c r="U193" s="6"/>
      <c r="V193" s="6" t="s">
        <v>154</v>
      </c>
      <c r="W193" s="6"/>
      <c r="X193" s="6" t="s">
        <v>154</v>
      </c>
      <c r="Y193" s="6"/>
      <c r="Z193" s="6">
        <v>977274.99</v>
      </c>
      <c r="AA193" s="6"/>
      <c r="AB193" s="6">
        <f>SUM(N193:Z193)</f>
        <v>977274.99</v>
      </c>
      <c r="AC193" s="6">
        <f>AB193</f>
        <v>977274.99</v>
      </c>
      <c r="AD193" s="6"/>
      <c r="AE193" s="6"/>
      <c r="AF193" s="7"/>
      <c r="AG193" s="18">
        <v>2020</v>
      </c>
      <c r="AH193" s="18">
        <v>2021</v>
      </c>
    </row>
    <row r="194" spans="1:34" ht="84.95" customHeight="1" x14ac:dyDescent="0.35">
      <c r="A194" s="18">
        <v>176</v>
      </c>
      <c r="B194" s="18" t="s">
        <v>27</v>
      </c>
      <c r="C194" s="18" t="s">
        <v>179</v>
      </c>
      <c r="D194" s="18">
        <v>1950</v>
      </c>
      <c r="E194" s="18">
        <v>5</v>
      </c>
      <c r="F194" s="18">
        <v>3</v>
      </c>
      <c r="G194" s="27">
        <v>3120.3</v>
      </c>
      <c r="H194" s="27">
        <v>1958.8</v>
      </c>
      <c r="I194" s="27">
        <v>1139.5999999999999</v>
      </c>
      <c r="J194" s="18" t="s">
        <v>32</v>
      </c>
      <c r="K194" s="18" t="s">
        <v>29</v>
      </c>
      <c r="L194" s="18" t="s">
        <v>30</v>
      </c>
      <c r="M194" s="18" t="s">
        <v>12</v>
      </c>
      <c r="N194" s="6">
        <f>ROUND(H194*616.25*1.015,2)</f>
        <v>1225217.1599999999</v>
      </c>
      <c r="O194" s="6">
        <f>ROUND(H194*3990.81*1.015,2)</f>
        <v>7934456.6100000003</v>
      </c>
      <c r="P194" s="6">
        <f>ROUND(H194*620.83*1.015,2)</f>
        <v>1234323.03</v>
      </c>
      <c r="Q194" s="6">
        <f>ROUND(H194*660.21*1.015,2)</f>
        <v>1312617.6399999999</v>
      </c>
      <c r="R194" s="6">
        <f>ROUND(1197448.78*1.015,2)</f>
        <v>1215410.51</v>
      </c>
      <c r="S194" s="6">
        <f>ROUND(H194*665.62*1.015,2)</f>
        <v>1323373.7</v>
      </c>
      <c r="T194" s="9"/>
      <c r="U194" s="6"/>
      <c r="V194" s="6"/>
      <c r="W194" s="6"/>
      <c r="X194" s="6"/>
      <c r="Y194" s="6"/>
      <c r="Z194" s="6">
        <v>423906.9</v>
      </c>
      <c r="AA194" s="6"/>
      <c r="AB194" s="6">
        <f t="shared" ref="AB194:AB195" si="17">N194+O194+P194+Q194+R194+S194+T194+U194+V194+W194+X194+Y194+Z194+AA194</f>
        <v>14669305.549999999</v>
      </c>
      <c r="AC194" s="6"/>
      <c r="AD194" s="6"/>
      <c r="AE194" s="6">
        <f t="shared" ref="AE194:AE195" si="18">SUM(N194:Z194)</f>
        <v>14669305.549999999</v>
      </c>
      <c r="AF194" s="7"/>
      <c r="AG194" s="18">
        <v>2020</v>
      </c>
      <c r="AH194" s="18">
        <v>2022</v>
      </c>
    </row>
    <row r="195" spans="1:34" ht="84.95" customHeight="1" x14ac:dyDescent="0.35">
      <c r="A195" s="18">
        <v>177</v>
      </c>
      <c r="B195" s="18" t="s">
        <v>27</v>
      </c>
      <c r="C195" s="18" t="s">
        <v>180</v>
      </c>
      <c r="D195" s="18">
        <v>1950</v>
      </c>
      <c r="E195" s="18">
        <v>4</v>
      </c>
      <c r="F195" s="18">
        <v>2</v>
      </c>
      <c r="G195" s="27">
        <v>1853.9</v>
      </c>
      <c r="H195" s="27">
        <v>1146.0999999999999</v>
      </c>
      <c r="I195" s="27">
        <v>445.5</v>
      </c>
      <c r="J195" s="18" t="s">
        <v>32</v>
      </c>
      <c r="K195" s="18" t="s">
        <v>29</v>
      </c>
      <c r="L195" s="18" t="s">
        <v>30</v>
      </c>
      <c r="M195" s="18" t="s">
        <v>12</v>
      </c>
      <c r="N195" s="6">
        <f>H195*616.25*1.015</f>
        <v>716878.38687499997</v>
      </c>
      <c r="O195" s="6">
        <f>H195*4857.9*1.015</f>
        <v>5651153.7778499993</v>
      </c>
      <c r="P195" s="6">
        <f>H195*596.38*1.015</f>
        <v>693763.78476999979</v>
      </c>
      <c r="Q195" s="6">
        <f>H195*589.88*1.015</f>
        <v>686202.39001999993</v>
      </c>
      <c r="R195" s="6"/>
      <c r="S195" s="6">
        <f>H195*1074.75*1.015</f>
        <v>1250247.5396249997</v>
      </c>
      <c r="T195" s="9"/>
      <c r="U195" s="6"/>
      <c r="V195" s="6">
        <v>7428185.6399999997</v>
      </c>
      <c r="W195" s="6"/>
      <c r="X195" s="6"/>
      <c r="Y195" s="6"/>
      <c r="Z195" s="6">
        <v>522797.52</v>
      </c>
      <c r="AA195" s="6"/>
      <c r="AB195" s="6">
        <f t="shared" si="17"/>
        <v>16949229.039139997</v>
      </c>
      <c r="AC195" s="6"/>
      <c r="AD195" s="6"/>
      <c r="AE195" s="6">
        <f t="shared" si="18"/>
        <v>16949229.039139997</v>
      </c>
      <c r="AF195" s="7"/>
      <c r="AG195" s="18">
        <v>2020</v>
      </c>
      <c r="AH195" s="18">
        <v>2022</v>
      </c>
    </row>
    <row r="196" spans="1:34" ht="84.95" customHeight="1" x14ac:dyDescent="0.35">
      <c r="A196" s="18">
        <v>178</v>
      </c>
      <c r="B196" s="18" t="s">
        <v>27</v>
      </c>
      <c r="C196" s="18" t="s">
        <v>181</v>
      </c>
      <c r="D196" s="18">
        <v>1976</v>
      </c>
      <c r="E196" s="18">
        <v>9</v>
      </c>
      <c r="F196" s="18">
        <v>1</v>
      </c>
      <c r="G196" s="28">
        <v>2703.4</v>
      </c>
      <c r="H196" s="27">
        <v>2353.3000000000002</v>
      </c>
      <c r="I196" s="18" t="s">
        <v>32</v>
      </c>
      <c r="J196" s="18" t="s">
        <v>32</v>
      </c>
      <c r="K196" s="18" t="s">
        <v>29</v>
      </c>
      <c r="L196" s="18" t="s">
        <v>30</v>
      </c>
      <c r="M196" s="18"/>
      <c r="N196" s="6"/>
      <c r="O196" s="6"/>
      <c r="P196" s="6"/>
      <c r="Q196" s="6"/>
      <c r="R196" s="6"/>
      <c r="S196" s="6"/>
      <c r="T196" s="6"/>
      <c r="U196" s="6">
        <v>2961856.62</v>
      </c>
      <c r="V196" s="6"/>
      <c r="W196" s="6"/>
      <c r="X196" s="6"/>
      <c r="Y196" s="6"/>
      <c r="Z196" s="6">
        <v>75945.039999999994</v>
      </c>
      <c r="AA196" s="6"/>
      <c r="AB196" s="6">
        <f t="shared" si="13"/>
        <v>3037801.66</v>
      </c>
      <c r="AC196" s="6"/>
      <c r="AD196" s="6"/>
      <c r="AE196" s="6">
        <v>3037801.66</v>
      </c>
      <c r="AF196" s="7"/>
      <c r="AG196" s="18">
        <v>2020</v>
      </c>
      <c r="AH196" s="18">
        <v>2022</v>
      </c>
    </row>
    <row r="197" spans="1:34" ht="84.95" customHeight="1" x14ac:dyDescent="0.35">
      <c r="A197" s="18">
        <v>179</v>
      </c>
      <c r="B197" s="18" t="s">
        <v>27</v>
      </c>
      <c r="C197" s="18" t="s">
        <v>308</v>
      </c>
      <c r="D197" s="18">
        <v>1974</v>
      </c>
      <c r="E197" s="18">
        <v>9</v>
      </c>
      <c r="F197" s="18">
        <v>2</v>
      </c>
      <c r="G197" s="28">
        <v>4737.7</v>
      </c>
      <c r="H197" s="27">
        <v>4096.6000000000004</v>
      </c>
      <c r="I197" s="18">
        <v>3613.5</v>
      </c>
      <c r="J197" s="18">
        <v>114</v>
      </c>
      <c r="K197" s="18" t="s">
        <v>29</v>
      </c>
      <c r="L197" s="18" t="s">
        <v>30</v>
      </c>
      <c r="M197" s="18"/>
      <c r="N197" s="6"/>
      <c r="O197" s="6"/>
      <c r="P197" s="6"/>
      <c r="Q197" s="6"/>
      <c r="R197" s="6"/>
      <c r="S197" s="6"/>
      <c r="T197" s="6"/>
      <c r="U197" s="6"/>
      <c r="V197" s="6">
        <v>8913564.9000000004</v>
      </c>
      <c r="W197" s="6"/>
      <c r="X197" s="6"/>
      <c r="Y197" s="6"/>
      <c r="Z197" s="6">
        <v>1095955.1000000001</v>
      </c>
      <c r="AA197" s="6"/>
      <c r="AB197" s="6">
        <f t="shared" si="13"/>
        <v>10009520</v>
      </c>
      <c r="AC197" s="6"/>
      <c r="AD197" s="6"/>
      <c r="AE197" s="6">
        <f>AB197</f>
        <v>10009520</v>
      </c>
      <c r="AF197" s="7"/>
      <c r="AG197" s="18">
        <v>2021</v>
      </c>
      <c r="AH197" s="18">
        <v>2022</v>
      </c>
    </row>
    <row r="198" spans="1:34" ht="84.95" customHeight="1" x14ac:dyDescent="0.35">
      <c r="A198" s="18">
        <v>180</v>
      </c>
      <c r="B198" s="18" t="s">
        <v>27</v>
      </c>
      <c r="C198" s="18" t="s">
        <v>182</v>
      </c>
      <c r="D198" s="18">
        <v>1988</v>
      </c>
      <c r="E198" s="18">
        <v>5</v>
      </c>
      <c r="F198" s="18">
        <v>3</v>
      </c>
      <c r="G198" s="28" t="s">
        <v>183</v>
      </c>
      <c r="H198" s="27">
        <v>2104.1</v>
      </c>
      <c r="I198" s="27" t="s">
        <v>32</v>
      </c>
      <c r="J198" s="18" t="s">
        <v>32</v>
      </c>
      <c r="K198" s="18" t="s">
        <v>29</v>
      </c>
      <c r="L198" s="18" t="s">
        <v>30</v>
      </c>
      <c r="M198" s="18"/>
      <c r="N198" s="6"/>
      <c r="O198" s="6"/>
      <c r="P198" s="6"/>
      <c r="Q198" s="10"/>
      <c r="R198" s="6">
        <v>961324.71</v>
      </c>
      <c r="S198" s="6"/>
      <c r="T198" s="9"/>
      <c r="U198" s="6"/>
      <c r="V198" s="6"/>
      <c r="W198" s="6"/>
      <c r="X198" s="6"/>
      <c r="Y198" s="6"/>
      <c r="Z198" s="6">
        <v>55000</v>
      </c>
      <c r="AA198" s="6"/>
      <c r="AB198" s="6">
        <f t="shared" si="13"/>
        <v>1016324.71</v>
      </c>
      <c r="AC198" s="6"/>
      <c r="AD198" s="6"/>
      <c r="AE198" s="6">
        <v>1016324.71</v>
      </c>
      <c r="AF198" s="7"/>
      <c r="AG198" s="18">
        <v>2020</v>
      </c>
      <c r="AH198" s="18">
        <v>2022</v>
      </c>
    </row>
    <row r="199" spans="1:34" ht="84.95" customHeight="1" x14ac:dyDescent="0.35">
      <c r="A199" s="18">
        <v>181</v>
      </c>
      <c r="B199" s="18" t="s">
        <v>27</v>
      </c>
      <c r="C199" s="18" t="s">
        <v>184</v>
      </c>
      <c r="D199" s="18">
        <v>1953</v>
      </c>
      <c r="E199" s="18">
        <v>3</v>
      </c>
      <c r="F199" s="18">
        <v>1</v>
      </c>
      <c r="G199" s="28" t="s">
        <v>185</v>
      </c>
      <c r="H199" s="27">
        <v>611.79999999999995</v>
      </c>
      <c r="I199" s="27" t="s">
        <v>32</v>
      </c>
      <c r="J199" s="18" t="s">
        <v>32</v>
      </c>
      <c r="K199" s="18" t="s">
        <v>160</v>
      </c>
      <c r="L199" s="18" t="s">
        <v>30</v>
      </c>
      <c r="M199" s="18"/>
      <c r="N199" s="6"/>
      <c r="O199" s="6"/>
      <c r="P199" s="6"/>
      <c r="Q199" s="6"/>
      <c r="R199" s="6">
        <v>961324.71</v>
      </c>
      <c r="S199" s="6"/>
      <c r="T199" s="9"/>
      <c r="U199" s="6"/>
      <c r="V199" s="6"/>
      <c r="W199" s="6"/>
      <c r="X199" s="6"/>
      <c r="Y199" s="6"/>
      <c r="Z199" s="6">
        <v>55000</v>
      </c>
      <c r="AA199" s="6"/>
      <c r="AB199" s="6">
        <f t="shared" si="13"/>
        <v>1016324.71</v>
      </c>
      <c r="AC199" s="6"/>
      <c r="AD199" s="6"/>
      <c r="AE199" s="6">
        <f t="shared" si="14"/>
        <v>1016324.71</v>
      </c>
      <c r="AF199" s="7"/>
      <c r="AG199" s="18">
        <v>2020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186</v>
      </c>
      <c r="D200" s="18">
        <v>1953</v>
      </c>
      <c r="E200" s="18">
        <v>3</v>
      </c>
      <c r="F200" s="18">
        <v>1</v>
      </c>
      <c r="G200" s="27">
        <v>671.8</v>
      </c>
      <c r="H200" s="27">
        <v>617.70000000000005</v>
      </c>
      <c r="I200" s="27" t="s">
        <v>32</v>
      </c>
      <c r="J200" s="18" t="s">
        <v>32</v>
      </c>
      <c r="K200" s="18" t="s">
        <v>160</v>
      </c>
      <c r="L200" s="18" t="s">
        <v>30</v>
      </c>
      <c r="M200" s="18"/>
      <c r="N200" s="6"/>
      <c r="O200" s="6"/>
      <c r="P200" s="6"/>
      <c r="Q200" s="6"/>
      <c r="R200" s="6">
        <v>961324.71</v>
      </c>
      <c r="S200" s="6"/>
      <c r="T200" s="9"/>
      <c r="U200" s="6"/>
      <c r="V200" s="6"/>
      <c r="W200" s="6"/>
      <c r="X200" s="6"/>
      <c r="Y200" s="6"/>
      <c r="Z200" s="6">
        <v>55000</v>
      </c>
      <c r="AA200" s="6"/>
      <c r="AB200" s="6">
        <f t="shared" si="13"/>
        <v>1016324.71</v>
      </c>
      <c r="AC200" s="6"/>
      <c r="AD200" s="6"/>
      <c r="AE200" s="6">
        <f t="shared" si="14"/>
        <v>1016324.71</v>
      </c>
      <c r="AF200" s="7"/>
      <c r="AG200" s="18">
        <v>2020</v>
      </c>
      <c r="AH200" s="18">
        <v>2022</v>
      </c>
    </row>
    <row r="201" spans="1:34" ht="84.95" customHeight="1" x14ac:dyDescent="0.35">
      <c r="A201" s="18">
        <v>183</v>
      </c>
      <c r="B201" s="18" t="s">
        <v>27</v>
      </c>
      <c r="C201" s="18" t="s">
        <v>187</v>
      </c>
      <c r="D201" s="18">
        <v>1953</v>
      </c>
      <c r="E201" s="18">
        <v>3</v>
      </c>
      <c r="F201" s="18">
        <v>1</v>
      </c>
      <c r="G201" s="28" t="s">
        <v>188</v>
      </c>
      <c r="H201" s="27">
        <v>610.79999999999995</v>
      </c>
      <c r="I201" s="27" t="s">
        <v>32</v>
      </c>
      <c r="J201" s="18" t="s">
        <v>32</v>
      </c>
      <c r="K201" s="18" t="s">
        <v>160</v>
      </c>
      <c r="L201" s="18" t="s">
        <v>30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6">
        <v>3244797.95</v>
      </c>
      <c r="W201" s="6"/>
      <c r="X201" s="6"/>
      <c r="Y201" s="6"/>
      <c r="Z201" s="6">
        <v>529525.98</v>
      </c>
      <c r="AA201" s="6"/>
      <c r="AB201" s="6">
        <f t="shared" si="13"/>
        <v>4735648.6400000006</v>
      </c>
      <c r="AC201" s="6"/>
      <c r="AD201" s="6"/>
      <c r="AE201" s="6">
        <f t="shared" si="14"/>
        <v>4735648.6400000006</v>
      </c>
      <c r="AF201" s="7"/>
      <c r="AG201" s="18">
        <v>2021</v>
      </c>
      <c r="AH201" s="18">
        <v>2022</v>
      </c>
    </row>
    <row r="202" spans="1:34" ht="84.95" customHeight="1" x14ac:dyDescent="0.35">
      <c r="A202" s="18">
        <v>184</v>
      </c>
      <c r="B202" s="18" t="s">
        <v>27</v>
      </c>
      <c r="C202" s="18" t="s">
        <v>189</v>
      </c>
      <c r="D202" s="18">
        <v>1967</v>
      </c>
      <c r="E202" s="18">
        <v>5</v>
      </c>
      <c r="F202" s="18">
        <v>4</v>
      </c>
      <c r="G202" s="28" t="s">
        <v>190</v>
      </c>
      <c r="H202" s="27">
        <v>3736.3</v>
      </c>
      <c r="I202" s="27" t="s">
        <v>32</v>
      </c>
      <c r="J202" s="18" t="s">
        <v>32</v>
      </c>
      <c r="K202" s="18" t="s">
        <v>29</v>
      </c>
      <c r="L202" s="18" t="s">
        <v>30</v>
      </c>
      <c r="M202" s="18"/>
      <c r="N202" s="6"/>
      <c r="O202" s="6"/>
      <c r="P202" s="6"/>
      <c r="Q202" s="6"/>
      <c r="R202" s="6">
        <v>961324.71</v>
      </c>
      <c r="S202" s="6"/>
      <c r="T202" s="9"/>
      <c r="U202" s="6"/>
      <c r="V202" s="6"/>
      <c r="W202" s="6"/>
      <c r="X202" s="6"/>
      <c r="Y202" s="6"/>
      <c r="Z202" s="6">
        <v>55000</v>
      </c>
      <c r="AA202" s="6"/>
      <c r="AB202" s="6">
        <f>N202+O202+P202+Q202+R202+S202+T202+U202+V202+W202+X202+Y202+Z202+AA202</f>
        <v>1016324.71</v>
      </c>
      <c r="AC202" s="6"/>
      <c r="AD202" s="6"/>
      <c r="AE202" s="6">
        <f t="shared" si="14"/>
        <v>1016324.71</v>
      </c>
      <c r="AF202" s="7"/>
      <c r="AG202" s="18">
        <v>2020</v>
      </c>
      <c r="AH202" s="18">
        <v>2022</v>
      </c>
    </row>
    <row r="203" spans="1:34" ht="84.95" customHeight="1" x14ac:dyDescent="0.35">
      <c r="A203" s="18">
        <v>185</v>
      </c>
      <c r="B203" s="18" t="s">
        <v>27</v>
      </c>
      <c r="C203" s="18" t="s">
        <v>269</v>
      </c>
      <c r="D203" s="18">
        <v>1970</v>
      </c>
      <c r="E203" s="18">
        <v>5</v>
      </c>
      <c r="F203" s="18">
        <v>4</v>
      </c>
      <c r="G203" s="28">
        <v>3456.9</v>
      </c>
      <c r="H203" s="27">
        <v>3412.3</v>
      </c>
      <c r="I203" s="27">
        <v>2297</v>
      </c>
      <c r="J203" s="18">
        <v>141</v>
      </c>
      <c r="K203" s="18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6">
        <v>14151435.49</v>
      </c>
      <c r="W203" s="6"/>
      <c r="X203" s="6"/>
      <c r="Y203" s="6"/>
      <c r="Z203" s="6">
        <v>692441.57</v>
      </c>
      <c r="AA203" s="6"/>
      <c r="AB203" s="6">
        <v>14843877.060000001</v>
      </c>
      <c r="AC203" s="6"/>
      <c r="AD203" s="6"/>
      <c r="AE203" s="6">
        <f>AB203</f>
        <v>14843877.060000001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311</v>
      </c>
      <c r="D204" s="18">
        <v>1972</v>
      </c>
      <c r="E204" s="18">
        <v>5</v>
      </c>
      <c r="F204" s="18">
        <v>6</v>
      </c>
      <c r="G204" s="28">
        <v>4470.3</v>
      </c>
      <c r="H204" s="27">
        <v>4409.6000000000004</v>
      </c>
      <c r="I204" s="27">
        <v>3023.4</v>
      </c>
      <c r="J204" s="18">
        <v>182</v>
      </c>
      <c r="K204" s="18" t="s">
        <v>29</v>
      </c>
      <c r="L204" s="18" t="s">
        <v>30</v>
      </c>
      <c r="M204" s="18"/>
      <c r="N204" s="6"/>
      <c r="O204" s="6"/>
      <c r="P204" s="6">
        <v>3229216.02</v>
      </c>
      <c r="Q204" s="6"/>
      <c r="R204" s="6"/>
      <c r="S204" s="6">
        <v>3201155.32</v>
      </c>
      <c r="T204" s="9"/>
      <c r="U204" s="6"/>
      <c r="V204" s="6">
        <v>17468658.140000001</v>
      </c>
      <c r="W204" s="6"/>
      <c r="X204" s="6"/>
      <c r="Y204" s="6"/>
      <c r="Z204" s="6">
        <v>977613.95</v>
      </c>
      <c r="AA204" s="6"/>
      <c r="AB204" s="6">
        <f>SUM(P204+S204+V204+Z204)</f>
        <v>24876643.43</v>
      </c>
      <c r="AC204" s="6"/>
      <c r="AD204" s="6"/>
      <c r="AE204" s="6">
        <f t="shared" ref="AE204:AE206" si="19">AB204</f>
        <v>24876643.43</v>
      </c>
      <c r="AF204" s="7"/>
      <c r="AG204" s="18">
        <v>2021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312</v>
      </c>
      <c r="D205" s="18">
        <v>1972</v>
      </c>
      <c r="E205" s="18">
        <v>5</v>
      </c>
      <c r="F205" s="18">
        <v>6</v>
      </c>
      <c r="G205" s="28">
        <v>4905.3</v>
      </c>
      <c r="H205" s="27">
        <v>4421</v>
      </c>
      <c r="I205" s="27">
        <v>3037.5</v>
      </c>
      <c r="J205" s="18">
        <v>179</v>
      </c>
      <c r="K205" s="18" t="s">
        <v>29</v>
      </c>
      <c r="L205" s="18" t="s">
        <v>30</v>
      </c>
      <c r="M205" s="18"/>
      <c r="N205" s="6"/>
      <c r="O205" s="6"/>
      <c r="P205" s="6"/>
      <c r="Q205" s="6"/>
      <c r="R205" s="6"/>
      <c r="S205" s="6"/>
      <c r="T205" s="9"/>
      <c r="U205" s="6"/>
      <c r="V205" s="6">
        <v>17512212.870000001</v>
      </c>
      <c r="W205" s="6"/>
      <c r="X205" s="6"/>
      <c r="Y205" s="6"/>
      <c r="Z205" s="6">
        <v>721269.59</v>
      </c>
      <c r="AA205" s="6"/>
      <c r="AB205" s="6">
        <f>SUM(V205+Z205)</f>
        <v>18233482.460000001</v>
      </c>
      <c r="AC205" s="6"/>
      <c r="AD205" s="6"/>
      <c r="AE205" s="6">
        <f t="shared" si="19"/>
        <v>18233482.460000001</v>
      </c>
      <c r="AF205" s="7"/>
      <c r="AG205" s="18">
        <v>2021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302</v>
      </c>
      <c r="D206" s="18">
        <v>1964</v>
      </c>
      <c r="E206" s="18">
        <v>6</v>
      </c>
      <c r="F206" s="18">
        <v>3</v>
      </c>
      <c r="G206" s="28">
        <v>3782</v>
      </c>
      <c r="H206" s="27">
        <v>3586</v>
      </c>
      <c r="I206" s="27">
        <v>2998.5</v>
      </c>
      <c r="J206" s="18" t="s">
        <v>32</v>
      </c>
      <c r="K206" s="18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6">
        <v>11343923.25</v>
      </c>
      <c r="W206" s="6"/>
      <c r="X206" s="6">
        <v>10456140.859999999</v>
      </c>
      <c r="Y206" s="6"/>
      <c r="Z206" s="6">
        <v>1516395.53</v>
      </c>
      <c r="AA206" s="6"/>
      <c r="AB206" s="6">
        <f>SUM(V206+X206+Z206)</f>
        <v>23316459.640000001</v>
      </c>
      <c r="AC206" s="6"/>
      <c r="AD206" s="6"/>
      <c r="AE206" s="6">
        <f t="shared" si="19"/>
        <v>23316459.640000001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289</v>
      </c>
      <c r="D207" s="18">
        <v>1961</v>
      </c>
      <c r="E207" s="18">
        <v>5</v>
      </c>
      <c r="F207" s="18">
        <v>2</v>
      </c>
      <c r="G207" s="28">
        <v>1779.7</v>
      </c>
      <c r="H207" s="28">
        <v>1075.5999999999999</v>
      </c>
      <c r="I207" s="28" t="s">
        <v>290</v>
      </c>
      <c r="J207" s="18">
        <v>81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/>
      <c r="S207" s="6"/>
      <c r="T207" s="9"/>
      <c r="U207" s="6"/>
      <c r="V207" s="6"/>
      <c r="W207" s="6"/>
      <c r="X207" s="6">
        <v>3585374.55</v>
      </c>
      <c r="Y207" s="6">
        <v>1239565.7</v>
      </c>
      <c r="Z207" s="6">
        <v>500329.43</v>
      </c>
      <c r="AA207" s="6"/>
      <c r="AB207" s="6">
        <v>5325269.68</v>
      </c>
      <c r="AC207" s="6"/>
      <c r="AD207" s="6"/>
      <c r="AE207" s="6">
        <v>5325269.68</v>
      </c>
      <c r="AF207" s="7"/>
      <c r="AG207" s="18">
        <v>2021</v>
      </c>
      <c r="AH207" s="18">
        <v>2021</v>
      </c>
    </row>
    <row r="208" spans="1:34" ht="84.95" customHeight="1" x14ac:dyDescent="0.35">
      <c r="A208" s="18">
        <v>190</v>
      </c>
      <c r="B208" s="18" t="s">
        <v>27</v>
      </c>
      <c r="C208" s="18" t="s">
        <v>191</v>
      </c>
      <c r="D208" s="18">
        <v>1978</v>
      </c>
      <c r="E208" s="18">
        <v>9</v>
      </c>
      <c r="F208" s="18">
        <v>2</v>
      </c>
      <c r="G208" s="27">
        <v>4828.2</v>
      </c>
      <c r="H208" s="27">
        <v>3871.4</v>
      </c>
      <c r="I208" s="18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10"/>
      <c r="R208" s="6">
        <v>961324.71</v>
      </c>
      <c r="S208" s="6"/>
      <c r="T208" s="6"/>
      <c r="U208" s="10"/>
      <c r="V208" s="6"/>
      <c r="W208" s="6"/>
      <c r="X208" s="6"/>
      <c r="Y208" s="6"/>
      <c r="Z208" s="6">
        <v>55000</v>
      </c>
      <c r="AA208" s="6"/>
      <c r="AB208" s="6">
        <f t="shared" si="13"/>
        <v>1016324.71</v>
      </c>
      <c r="AC208" s="6"/>
      <c r="AD208" s="6"/>
      <c r="AE208" s="6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192</v>
      </c>
      <c r="D209" s="18">
        <v>1958</v>
      </c>
      <c r="E209" s="18">
        <v>5</v>
      </c>
      <c r="F209" s="18">
        <v>3</v>
      </c>
      <c r="G209" s="27">
        <v>2821.5</v>
      </c>
      <c r="H209" s="27">
        <v>2070.1999999999998</v>
      </c>
      <c r="I209" s="18" t="s">
        <v>32</v>
      </c>
      <c r="J209" s="18" t="s">
        <v>32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>
        <v>961324.71</v>
      </c>
      <c r="S209" s="6"/>
      <c r="T209" s="6"/>
      <c r="U209" s="6"/>
      <c r="V209" s="6"/>
      <c r="W209" s="6"/>
      <c r="X209" s="6"/>
      <c r="Y209" s="6"/>
      <c r="Z209" s="6">
        <v>55000</v>
      </c>
      <c r="AA209" s="6"/>
      <c r="AB209" s="6">
        <f t="shared" si="13"/>
        <v>1016324.71</v>
      </c>
      <c r="AC209" s="6"/>
      <c r="AD209" s="6"/>
      <c r="AE209" s="6">
        <f t="shared" si="14"/>
        <v>1016324.71</v>
      </c>
      <c r="AF209" s="7"/>
      <c r="AG209" s="18">
        <v>2020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324</v>
      </c>
      <c r="D210" s="18">
        <v>1958</v>
      </c>
      <c r="E210" s="18">
        <v>4</v>
      </c>
      <c r="F210" s="18">
        <v>3</v>
      </c>
      <c r="G210" s="27">
        <v>3408.6</v>
      </c>
      <c r="H210" s="27">
        <v>3408.6</v>
      </c>
      <c r="I210" s="18">
        <v>2721.4</v>
      </c>
      <c r="J210" s="18">
        <v>89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6"/>
      <c r="U210" s="6"/>
      <c r="V210" s="6">
        <v>9665284.7599999998</v>
      </c>
      <c r="W210" s="6"/>
      <c r="X210" s="6"/>
      <c r="Y210" s="6"/>
      <c r="Z210" s="6">
        <v>594419.43999999994</v>
      </c>
      <c r="AA210" s="6"/>
      <c r="AB210" s="6">
        <f>SUM(V210+Z210)</f>
        <v>10259704.199999999</v>
      </c>
      <c r="AC210" s="6"/>
      <c r="AD210" s="6"/>
      <c r="AE210" s="6">
        <f>AB210</f>
        <v>10259704.199999999</v>
      </c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325</v>
      </c>
      <c r="D211" s="8">
        <v>1965</v>
      </c>
      <c r="E211" s="18">
        <v>5</v>
      </c>
      <c r="F211" s="18">
        <v>3</v>
      </c>
      <c r="G211" s="27">
        <v>2834.5</v>
      </c>
      <c r="H211" s="27">
        <v>2528.1</v>
      </c>
      <c r="I211" s="27" t="s">
        <v>32</v>
      </c>
      <c r="J211" s="18" t="s">
        <v>32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>
        <v>961324.71</v>
      </c>
      <c r="S211" s="6"/>
      <c r="T211" s="9"/>
      <c r="U211" s="6"/>
      <c r="V211" s="6"/>
      <c r="W211" s="6"/>
      <c r="X211" s="6"/>
      <c r="Y211" s="6"/>
      <c r="Z211" s="6">
        <v>55000</v>
      </c>
      <c r="AA211" s="6"/>
      <c r="AB211" s="6">
        <f t="shared" si="13"/>
        <v>1016324.71</v>
      </c>
      <c r="AC211" s="6"/>
      <c r="AD211" s="6"/>
      <c r="AE211" s="6">
        <f t="shared" si="14"/>
        <v>1016324.71</v>
      </c>
      <c r="AF211" s="7"/>
      <c r="AG211" s="18">
        <v>2020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315</v>
      </c>
      <c r="D212" s="8">
        <v>1957</v>
      </c>
      <c r="E212" s="18">
        <v>5</v>
      </c>
      <c r="F212" s="18">
        <v>5</v>
      </c>
      <c r="G212" s="27">
        <v>5615.6</v>
      </c>
      <c r="H212" s="27">
        <v>5604</v>
      </c>
      <c r="I212" s="27">
        <v>3824.7</v>
      </c>
      <c r="J212" s="18">
        <v>131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>
        <v>23659671.129999999</v>
      </c>
      <c r="W212" s="6"/>
      <c r="X212" s="6"/>
      <c r="Y212" s="6"/>
      <c r="Z212" s="6">
        <v>595415.22</v>
      </c>
      <c r="AA212" s="6"/>
      <c r="AB212" s="6">
        <f>SUM(V212+Z212)</f>
        <v>24255086.349999998</v>
      </c>
      <c r="AC212" s="6">
        <f>SUM(V212+Z212)</f>
        <v>24255086.349999998</v>
      </c>
      <c r="AD212" s="6"/>
      <c r="AE212" s="6"/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284</v>
      </c>
      <c r="D213" s="18">
        <v>1963</v>
      </c>
      <c r="E213" s="18">
        <v>5</v>
      </c>
      <c r="F213" s="18">
        <v>5</v>
      </c>
      <c r="G213" s="27">
        <v>5042.3999999999996</v>
      </c>
      <c r="H213" s="27">
        <v>4589</v>
      </c>
      <c r="I213" s="18" t="s">
        <v>32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>
        <v>16002411.35</v>
      </c>
      <c r="Y213" s="6"/>
      <c r="Z213" s="6">
        <v>979366.81</v>
      </c>
      <c r="AA213" s="6"/>
      <c r="AB213" s="6">
        <f>SUM(X213+Z213)</f>
        <v>16981778.16</v>
      </c>
      <c r="AC213" s="6"/>
      <c r="AD213" s="6"/>
      <c r="AE213" s="6">
        <f>AB213</f>
        <v>16981778.16</v>
      </c>
      <c r="AF213" s="7"/>
      <c r="AG213" s="18">
        <v>2020</v>
      </c>
      <c r="AH213" s="18">
        <v>2021</v>
      </c>
    </row>
    <row r="214" spans="1:34" ht="84.95" customHeight="1" x14ac:dyDescent="0.35">
      <c r="A214" s="18">
        <v>196</v>
      </c>
      <c r="B214" s="18" t="s">
        <v>27</v>
      </c>
      <c r="C214" s="18" t="s">
        <v>257</v>
      </c>
      <c r="D214" s="18">
        <v>1959</v>
      </c>
      <c r="E214" s="18">
        <v>5</v>
      </c>
      <c r="F214" s="18">
        <v>2</v>
      </c>
      <c r="G214" s="27">
        <v>1919.8</v>
      </c>
      <c r="H214" s="27">
        <v>1894.8</v>
      </c>
      <c r="I214" s="27" t="s">
        <v>32</v>
      </c>
      <c r="J214" s="18">
        <v>34</v>
      </c>
      <c r="K214" s="56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6" t="s">
        <v>154</v>
      </c>
      <c r="W214" s="6"/>
      <c r="X214" s="6" t="s">
        <v>154</v>
      </c>
      <c r="Y214" s="6"/>
      <c r="Z214" s="6">
        <v>774242.95</v>
      </c>
      <c r="AA214" s="6"/>
      <c r="AB214" s="6">
        <v>774242.95</v>
      </c>
      <c r="AC214" s="6">
        <v>774242.95</v>
      </c>
      <c r="AD214" s="6"/>
      <c r="AE214" s="6"/>
      <c r="AF214" s="7"/>
      <c r="AG214" s="18">
        <v>2020</v>
      </c>
      <c r="AH214" s="18">
        <v>2021</v>
      </c>
    </row>
    <row r="215" spans="1:34" ht="84.95" customHeight="1" x14ac:dyDescent="0.35">
      <c r="A215" s="18">
        <v>197</v>
      </c>
      <c r="B215" s="18" t="s">
        <v>27</v>
      </c>
      <c r="C215" s="18" t="s">
        <v>193</v>
      </c>
      <c r="D215" s="18">
        <v>1973</v>
      </c>
      <c r="E215" s="18">
        <v>9</v>
      </c>
      <c r="F215" s="18">
        <v>2</v>
      </c>
      <c r="G215" s="27">
        <v>4545.2</v>
      </c>
      <c r="H215" s="27">
        <v>3756.3</v>
      </c>
      <c r="I215" s="18" t="s">
        <v>32</v>
      </c>
      <c r="J215" s="18" t="s">
        <v>32</v>
      </c>
      <c r="K215" s="56" t="s">
        <v>65</v>
      </c>
      <c r="L215" s="18" t="s">
        <v>30</v>
      </c>
      <c r="M215" s="18"/>
      <c r="N215" s="6"/>
      <c r="O215" s="6"/>
      <c r="P215" s="6"/>
      <c r="Q215" s="6"/>
      <c r="R215" s="6"/>
      <c r="S215" s="6"/>
      <c r="T215" s="6"/>
      <c r="U215" s="6">
        <v>5923713.2400000002</v>
      </c>
      <c r="V215" s="6"/>
      <c r="W215" s="6"/>
      <c r="X215" s="6"/>
      <c r="Y215" s="6"/>
      <c r="Z215" s="6">
        <v>151890.07999999999</v>
      </c>
      <c r="AA215" s="6"/>
      <c r="AB215" s="6">
        <f t="shared" si="13"/>
        <v>6075603.3200000003</v>
      </c>
      <c r="AC215" s="6"/>
      <c r="AD215" s="6"/>
      <c r="AE215" s="6">
        <v>6075603.3200000003</v>
      </c>
      <c r="AF215" s="7"/>
      <c r="AG215" s="18">
        <v>2020</v>
      </c>
      <c r="AH215" s="18">
        <v>2022</v>
      </c>
    </row>
    <row r="216" spans="1:34" ht="113.25" customHeight="1" x14ac:dyDescent="0.35">
      <c r="A216" s="18">
        <v>198</v>
      </c>
      <c r="B216" s="18" t="s">
        <v>27</v>
      </c>
      <c r="C216" s="18" t="s">
        <v>151</v>
      </c>
      <c r="D216" s="18">
        <v>1961</v>
      </c>
      <c r="E216" s="18">
        <v>5</v>
      </c>
      <c r="F216" s="18">
        <v>6</v>
      </c>
      <c r="G216" s="27">
        <v>6143</v>
      </c>
      <c r="H216" s="27">
        <v>5751.6</v>
      </c>
      <c r="I216" s="18" t="s">
        <v>32</v>
      </c>
      <c r="J216" s="18" t="s">
        <v>32</v>
      </c>
      <c r="K216" s="18" t="s">
        <v>29</v>
      </c>
      <c r="L216" s="18" t="s">
        <v>287</v>
      </c>
      <c r="M216" s="18"/>
      <c r="N216" s="6"/>
      <c r="O216" s="6"/>
      <c r="P216" s="6"/>
      <c r="Q216" s="6"/>
      <c r="R216" s="6"/>
      <c r="S216" s="6"/>
      <c r="T216" s="6"/>
      <c r="U216" s="6"/>
      <c r="V216" s="6">
        <v>21759449.379999999</v>
      </c>
      <c r="W216" s="6"/>
      <c r="X216" s="6">
        <v>20056541.539999999</v>
      </c>
      <c r="Y216" s="6"/>
      <c r="Z216" s="6">
        <v>654325.73</v>
      </c>
      <c r="AA216" s="6"/>
      <c r="AB216" s="6">
        <f t="shared" ref="AB216:AB221" si="20">SUM(N216:Z216)</f>
        <v>42470316.649999999</v>
      </c>
      <c r="AC216" s="6">
        <f>SUM(V216+X216+Z216)</f>
        <v>42470316.649999999</v>
      </c>
      <c r="AD216" s="6"/>
      <c r="AE216" s="6"/>
      <c r="AF216" s="7"/>
      <c r="AG216" s="18">
        <v>2021</v>
      </c>
      <c r="AH216" s="18">
        <v>2022</v>
      </c>
    </row>
    <row r="217" spans="1:34" ht="84.95" customHeight="1" x14ac:dyDescent="0.35">
      <c r="A217" s="18">
        <v>199</v>
      </c>
      <c r="B217" s="18" t="s">
        <v>27</v>
      </c>
      <c r="C217" s="18" t="s">
        <v>153</v>
      </c>
      <c r="D217" s="18">
        <v>1960</v>
      </c>
      <c r="E217" s="18">
        <v>5</v>
      </c>
      <c r="F217" s="18">
        <v>3</v>
      </c>
      <c r="G217" s="27">
        <v>2757.8</v>
      </c>
      <c r="H217" s="27">
        <v>2566.1999999999998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6" t="s">
        <v>154</v>
      </c>
      <c r="W217" s="6"/>
      <c r="X217" s="6" t="s">
        <v>154</v>
      </c>
      <c r="Y217" s="6"/>
      <c r="Z217" s="6">
        <v>252739.42</v>
      </c>
      <c r="AA217" s="6"/>
      <c r="AB217" s="6">
        <f t="shared" si="20"/>
        <v>252739.42</v>
      </c>
      <c r="AC217" s="6">
        <v>252739.42</v>
      </c>
      <c r="AD217" s="6"/>
      <c r="AE217" s="6"/>
      <c r="AF217" s="7"/>
      <c r="AG217" s="18">
        <v>2020</v>
      </c>
      <c r="AH217" s="18">
        <v>2021</v>
      </c>
    </row>
    <row r="218" spans="1:34" ht="113.25" customHeight="1" x14ac:dyDescent="0.35">
      <c r="A218" s="18">
        <v>200</v>
      </c>
      <c r="B218" s="18" t="s">
        <v>27</v>
      </c>
      <c r="C218" s="18" t="s">
        <v>157</v>
      </c>
      <c r="D218" s="18">
        <v>1963</v>
      </c>
      <c r="E218" s="18">
        <v>5</v>
      </c>
      <c r="F218" s="18">
        <v>2</v>
      </c>
      <c r="G218" s="27">
        <v>2059.4</v>
      </c>
      <c r="H218" s="27">
        <v>1924.5</v>
      </c>
      <c r="I218" s="18" t="s">
        <v>32</v>
      </c>
      <c r="J218" s="18" t="s">
        <v>32</v>
      </c>
      <c r="K218" s="56" t="s">
        <v>124</v>
      </c>
      <c r="L218" s="18" t="s">
        <v>287</v>
      </c>
      <c r="M218" s="18"/>
      <c r="N218" s="6"/>
      <c r="O218" s="6"/>
      <c r="P218" s="6"/>
      <c r="Q218" s="6"/>
      <c r="R218" s="6"/>
      <c r="S218" s="6"/>
      <c r="T218" s="6"/>
      <c r="U218" s="6"/>
      <c r="V218" s="6" t="s">
        <v>154</v>
      </c>
      <c r="W218" s="6"/>
      <c r="X218" s="6" t="s">
        <v>154</v>
      </c>
      <c r="Y218" s="6"/>
      <c r="Z218" s="6">
        <v>528328.23</v>
      </c>
      <c r="AA218" s="6"/>
      <c r="AB218" s="6">
        <f t="shared" si="20"/>
        <v>528328.23</v>
      </c>
      <c r="AC218" s="6">
        <v>528328.23</v>
      </c>
      <c r="AD218" s="6"/>
      <c r="AE218" s="6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158</v>
      </c>
      <c r="D219" s="18">
        <v>1960</v>
      </c>
      <c r="E219" s="18">
        <v>5</v>
      </c>
      <c r="F219" s="18">
        <v>3</v>
      </c>
      <c r="G219" s="27">
        <v>3212.2</v>
      </c>
      <c r="H219" s="27">
        <v>3017.6</v>
      </c>
      <c r="I219" s="18" t="s">
        <v>32</v>
      </c>
      <c r="J219" s="18" t="s">
        <v>32</v>
      </c>
      <c r="K219" s="56" t="s">
        <v>29</v>
      </c>
      <c r="L219" s="18" t="s">
        <v>30</v>
      </c>
      <c r="M219" s="18"/>
      <c r="N219" s="6"/>
      <c r="O219" s="6"/>
      <c r="P219" s="6"/>
      <c r="Q219" s="6"/>
      <c r="R219" s="6"/>
      <c r="S219" s="6"/>
      <c r="T219" s="6"/>
      <c r="U219" s="6"/>
      <c r="V219" s="6" t="s">
        <v>154</v>
      </c>
      <c r="W219" s="6"/>
      <c r="X219" s="6" t="s">
        <v>154</v>
      </c>
      <c r="Y219" s="6"/>
      <c r="Z219" s="6">
        <v>260488.85</v>
      </c>
      <c r="AA219" s="6"/>
      <c r="AB219" s="6">
        <f t="shared" si="20"/>
        <v>260488.85</v>
      </c>
      <c r="AC219" s="6">
        <v>260488.85</v>
      </c>
      <c r="AD219" s="6"/>
      <c r="AE219" s="6"/>
      <c r="AF219" s="7"/>
      <c r="AG219" s="18">
        <v>2020</v>
      </c>
      <c r="AH219" s="18">
        <v>2021</v>
      </c>
    </row>
    <row r="220" spans="1:34" ht="84.95" customHeight="1" x14ac:dyDescent="0.35">
      <c r="A220" s="18">
        <v>202</v>
      </c>
      <c r="B220" s="18" t="s">
        <v>27</v>
      </c>
      <c r="C220" s="18" t="s">
        <v>305</v>
      </c>
      <c r="D220" s="18">
        <v>1962</v>
      </c>
      <c r="E220" s="18">
        <v>5</v>
      </c>
      <c r="F220" s="18">
        <v>3</v>
      </c>
      <c r="G220" s="27">
        <v>2543</v>
      </c>
      <c r="H220" s="27">
        <v>2497</v>
      </c>
      <c r="I220" s="18">
        <v>2440</v>
      </c>
      <c r="J220" s="18">
        <v>123</v>
      </c>
      <c r="K220" s="56" t="s">
        <v>29</v>
      </c>
      <c r="L220" s="18" t="s">
        <v>30</v>
      </c>
      <c r="M220" s="18"/>
      <c r="N220" s="6"/>
      <c r="O220" s="6"/>
      <c r="P220" s="6"/>
      <c r="Q220" s="6"/>
      <c r="R220" s="6"/>
      <c r="S220" s="6"/>
      <c r="T220" s="6">
        <v>922403.64</v>
      </c>
      <c r="U220" s="6"/>
      <c r="V220" s="6"/>
      <c r="W220" s="6"/>
      <c r="X220" s="6"/>
      <c r="Y220" s="6"/>
      <c r="Z220" s="6">
        <v>807934.19</v>
      </c>
      <c r="AA220" s="6"/>
      <c r="AB220" s="6">
        <f t="shared" si="20"/>
        <v>1730337.83</v>
      </c>
      <c r="AC220" s="6"/>
      <c r="AD220" s="6"/>
      <c r="AE220" s="6">
        <f>AB220</f>
        <v>1730337.83</v>
      </c>
      <c r="AF220" s="7"/>
      <c r="AG220" s="18">
        <v>2021</v>
      </c>
      <c r="AH220" s="18">
        <v>2022</v>
      </c>
    </row>
    <row r="221" spans="1:34" ht="84.95" customHeight="1" x14ac:dyDescent="0.35">
      <c r="A221" s="18">
        <v>203</v>
      </c>
      <c r="B221" s="18" t="s">
        <v>27</v>
      </c>
      <c r="C221" s="18" t="s">
        <v>300</v>
      </c>
      <c r="D221" s="18">
        <v>1962</v>
      </c>
      <c r="E221" s="18">
        <v>4</v>
      </c>
      <c r="F221" s="18">
        <v>4</v>
      </c>
      <c r="G221" s="27">
        <v>2985.5</v>
      </c>
      <c r="H221" s="27">
        <v>2985.5</v>
      </c>
      <c r="I221" s="18">
        <v>1632.4</v>
      </c>
      <c r="J221" s="18">
        <v>127</v>
      </c>
      <c r="K221" s="56" t="s">
        <v>29</v>
      </c>
      <c r="L221" s="18" t="s">
        <v>30</v>
      </c>
      <c r="M221" s="18"/>
      <c r="N221" s="6"/>
      <c r="O221" s="6"/>
      <c r="P221" s="6"/>
      <c r="Q221" s="6"/>
      <c r="R221" s="6"/>
      <c r="S221" s="6"/>
      <c r="T221" s="6"/>
      <c r="U221" s="6"/>
      <c r="V221" s="6">
        <v>18106937.93</v>
      </c>
      <c r="W221" s="6"/>
      <c r="X221" s="6"/>
      <c r="Y221" s="6"/>
      <c r="Z221" s="6">
        <v>819581.62</v>
      </c>
      <c r="AA221" s="6"/>
      <c r="AB221" s="6">
        <f t="shared" si="20"/>
        <v>18926519.550000001</v>
      </c>
      <c r="AC221" s="6"/>
      <c r="AD221" s="6"/>
      <c r="AE221" s="6">
        <f>AB221</f>
        <v>18926519.550000001</v>
      </c>
      <c r="AF221" s="7"/>
      <c r="AG221" s="18">
        <v>2021</v>
      </c>
      <c r="AH221" s="18">
        <v>2022</v>
      </c>
    </row>
    <row r="222" spans="1:34" ht="84.95" customHeight="1" x14ac:dyDescent="0.35">
      <c r="A222" s="18">
        <v>204</v>
      </c>
      <c r="B222" s="18" t="s">
        <v>27</v>
      </c>
      <c r="C222" s="18" t="s">
        <v>295</v>
      </c>
      <c r="D222" s="8">
        <v>1985</v>
      </c>
      <c r="E222" s="18">
        <v>9</v>
      </c>
      <c r="F222" s="18">
        <v>1</v>
      </c>
      <c r="G222" s="27">
        <v>1001.7</v>
      </c>
      <c r="H222" s="27">
        <v>849.5</v>
      </c>
      <c r="I222" s="27" t="s">
        <v>32</v>
      </c>
      <c r="J222" s="18" t="s">
        <v>32</v>
      </c>
      <c r="K222" s="56" t="s">
        <v>29</v>
      </c>
      <c r="L222" s="18" t="s">
        <v>30</v>
      </c>
      <c r="M222" s="18"/>
      <c r="N222" s="6"/>
      <c r="O222" s="6">
        <v>2538668.5099999998</v>
      </c>
      <c r="P222" s="6"/>
      <c r="Q222" s="6"/>
      <c r="R222" s="6"/>
      <c r="S222" s="6"/>
      <c r="T222" s="9"/>
      <c r="U222" s="6"/>
      <c r="V222" s="6"/>
      <c r="W222" s="6"/>
      <c r="X222" s="6"/>
      <c r="Y222" s="6"/>
      <c r="Z222" s="6">
        <v>152320.10999999999</v>
      </c>
      <c r="AA222" s="6"/>
      <c r="AB222" s="6">
        <f t="shared" ref="AB222:AB226" si="21">SUM(N222:Z222)</f>
        <v>2690988.6199999996</v>
      </c>
      <c r="AC222" s="6"/>
      <c r="AD222" s="6"/>
      <c r="AE222" s="6">
        <f t="shared" si="14"/>
        <v>2690988.6199999996</v>
      </c>
      <c r="AF222" s="7"/>
      <c r="AG222" s="18">
        <v>2021</v>
      </c>
      <c r="AH222" s="18">
        <v>2021</v>
      </c>
    </row>
    <row r="223" spans="1:34" ht="113.25" customHeight="1" x14ac:dyDescent="0.35">
      <c r="A223" s="18">
        <v>205</v>
      </c>
      <c r="B223" s="18" t="s">
        <v>27</v>
      </c>
      <c r="C223" s="18" t="s">
        <v>258</v>
      </c>
      <c r="D223" s="18">
        <v>1959</v>
      </c>
      <c r="E223" s="18">
        <v>5</v>
      </c>
      <c r="F223" s="18">
        <v>2</v>
      </c>
      <c r="G223" s="27">
        <v>1935.5</v>
      </c>
      <c r="H223" s="27">
        <v>1395.7</v>
      </c>
      <c r="I223" s="27" t="s">
        <v>32</v>
      </c>
      <c r="J223" s="18">
        <v>59</v>
      </c>
      <c r="K223" s="56" t="s">
        <v>29</v>
      </c>
      <c r="L223" s="18" t="s">
        <v>287</v>
      </c>
      <c r="M223" s="18"/>
      <c r="N223" s="6"/>
      <c r="O223" s="6"/>
      <c r="P223" s="6"/>
      <c r="Q223" s="6"/>
      <c r="R223" s="6"/>
      <c r="S223" s="6"/>
      <c r="T223" s="6"/>
      <c r="U223" s="6"/>
      <c r="V223" s="6">
        <v>7102278.4199999999</v>
      </c>
      <c r="W223" s="6"/>
      <c r="X223" s="6">
        <v>6448407.46</v>
      </c>
      <c r="Y223" s="6"/>
      <c r="Z223" s="6">
        <v>648331.81000000006</v>
      </c>
      <c r="AA223" s="6"/>
      <c r="AB223" s="6">
        <f>SUM(V223+X223+Z223)</f>
        <v>14199017.689999999</v>
      </c>
      <c r="AC223" s="6">
        <f>SUM(V223+X223+Z223)</f>
        <v>14199017.689999999</v>
      </c>
      <c r="AD223" s="6"/>
      <c r="AE223" s="6"/>
      <c r="AF223" s="7"/>
      <c r="AG223" s="18">
        <v>2021</v>
      </c>
      <c r="AH223" s="18">
        <v>2022</v>
      </c>
    </row>
    <row r="224" spans="1:34" ht="84.95" customHeight="1" x14ac:dyDescent="0.35">
      <c r="A224" s="18">
        <v>206</v>
      </c>
      <c r="B224" s="18" t="s">
        <v>27</v>
      </c>
      <c r="C224" s="18" t="s">
        <v>298</v>
      </c>
      <c r="D224" s="18">
        <v>1961</v>
      </c>
      <c r="E224" s="18">
        <v>4</v>
      </c>
      <c r="F224" s="18">
        <v>2</v>
      </c>
      <c r="G224" s="27">
        <v>1571.2</v>
      </c>
      <c r="H224" s="27">
        <v>1571.2</v>
      </c>
      <c r="I224" s="27">
        <v>1254</v>
      </c>
      <c r="J224" s="18">
        <v>60</v>
      </c>
      <c r="K224" s="56" t="s">
        <v>29</v>
      </c>
      <c r="L224" s="18" t="s">
        <v>30</v>
      </c>
      <c r="M224" s="18"/>
      <c r="N224" s="6"/>
      <c r="O224" s="6"/>
      <c r="P224" s="6"/>
      <c r="Q224" s="6"/>
      <c r="R224" s="6"/>
      <c r="S224" s="6"/>
      <c r="T224" s="6"/>
      <c r="U224" s="6"/>
      <c r="V224" s="6">
        <v>7605459.7800000003</v>
      </c>
      <c r="W224" s="6"/>
      <c r="X224" s="6"/>
      <c r="Y224" s="6"/>
      <c r="Z224" s="6">
        <v>705473.56</v>
      </c>
      <c r="AA224" s="6"/>
      <c r="AB224" s="6">
        <f t="shared" si="21"/>
        <v>8310933.3399999999</v>
      </c>
      <c r="AC224" s="6"/>
      <c r="AD224" s="6"/>
      <c r="AE224" s="6">
        <f>AB224</f>
        <v>8310933.3399999999</v>
      </c>
      <c r="AF224" s="7"/>
      <c r="AG224" s="18">
        <v>2021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301</v>
      </c>
      <c r="D225" s="18">
        <v>1951</v>
      </c>
      <c r="E225" s="18">
        <v>2</v>
      </c>
      <c r="F225" s="18">
        <v>2</v>
      </c>
      <c r="G225" s="27">
        <v>954.8</v>
      </c>
      <c r="H225" s="27">
        <v>954.8</v>
      </c>
      <c r="I225" s="27">
        <v>592.20000000000005</v>
      </c>
      <c r="J225" s="18">
        <v>33</v>
      </c>
      <c r="K225" s="56" t="s">
        <v>124</v>
      </c>
      <c r="L225" s="18" t="s">
        <v>30</v>
      </c>
      <c r="M225" s="18"/>
      <c r="N225" s="6"/>
      <c r="O225" s="6"/>
      <c r="P225" s="6"/>
      <c r="Q225" s="6"/>
      <c r="R225" s="6"/>
      <c r="S225" s="6"/>
      <c r="T225" s="6"/>
      <c r="U225" s="6"/>
      <c r="V225" s="6">
        <v>8378360.1200000001</v>
      </c>
      <c r="W225" s="6"/>
      <c r="X225" s="6"/>
      <c r="Y225" s="6"/>
      <c r="Z225" s="6">
        <v>551519.51</v>
      </c>
      <c r="AA225" s="6"/>
      <c r="AB225" s="6">
        <f t="shared" si="21"/>
        <v>8929879.6300000008</v>
      </c>
      <c r="AC225" s="6"/>
      <c r="AD225" s="6"/>
      <c r="AE225" s="6">
        <f>AB225</f>
        <v>8929879.6300000008</v>
      </c>
      <c r="AF225" s="7"/>
      <c r="AG225" s="18">
        <v>2021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196</v>
      </c>
      <c r="D226" s="8">
        <v>1969</v>
      </c>
      <c r="E226" s="18">
        <v>9</v>
      </c>
      <c r="F226" s="18">
        <v>1</v>
      </c>
      <c r="G226" s="27">
        <v>2644.6</v>
      </c>
      <c r="H226" s="27">
        <v>2167.4</v>
      </c>
      <c r="I226" s="27" t="s">
        <v>32</v>
      </c>
      <c r="J226" s="18" t="s">
        <v>32</v>
      </c>
      <c r="K226" s="56" t="s">
        <v>29</v>
      </c>
      <c r="L226" s="18" t="s">
        <v>30</v>
      </c>
      <c r="M226" s="18"/>
      <c r="N226" s="6"/>
      <c r="O226" s="6"/>
      <c r="P226" s="6"/>
      <c r="Q226" s="6"/>
      <c r="R226" s="6">
        <v>961324.71</v>
      </c>
      <c r="S226" s="6"/>
      <c r="T226" s="9"/>
      <c r="U226" s="6"/>
      <c r="V226" s="6"/>
      <c r="W226" s="6"/>
      <c r="X226" s="6"/>
      <c r="Y226" s="6"/>
      <c r="Z226" s="6">
        <v>55000</v>
      </c>
      <c r="AA226" s="6"/>
      <c r="AB226" s="6">
        <f t="shared" si="21"/>
        <v>1016324.71</v>
      </c>
      <c r="AC226" s="6"/>
      <c r="AD226" s="6"/>
      <c r="AE226" s="6">
        <f t="shared" si="14"/>
        <v>1016324.71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197</v>
      </c>
      <c r="D227" s="8">
        <v>1963</v>
      </c>
      <c r="E227" s="18">
        <v>5</v>
      </c>
      <c r="F227" s="18">
        <v>2</v>
      </c>
      <c r="G227" s="27">
        <v>1643.9</v>
      </c>
      <c r="H227" s="27">
        <v>1312.1</v>
      </c>
      <c r="I227" s="27" t="s">
        <v>32</v>
      </c>
      <c r="J227" s="18" t="s">
        <v>32</v>
      </c>
      <c r="K227" s="56" t="s">
        <v>29</v>
      </c>
      <c r="L227" s="18" t="s">
        <v>30</v>
      </c>
      <c r="M227" s="18"/>
      <c r="N227" s="6"/>
      <c r="O227" s="6"/>
      <c r="P227" s="6"/>
      <c r="Q227" s="6"/>
      <c r="R227" s="6">
        <v>961324.71</v>
      </c>
      <c r="S227" s="6"/>
      <c r="T227" s="9"/>
      <c r="U227" s="6"/>
      <c r="V227" s="6"/>
      <c r="W227" s="6"/>
      <c r="X227" s="6"/>
      <c r="Y227" s="6"/>
      <c r="Z227" s="6">
        <v>55000</v>
      </c>
      <c r="AA227" s="6"/>
      <c r="AB227" s="6">
        <v>1016324.71</v>
      </c>
      <c r="AC227" s="6"/>
      <c r="AD227" s="6"/>
      <c r="AE227" s="6">
        <v>1016324.71</v>
      </c>
      <c r="AF227" s="7"/>
      <c r="AG227" s="18">
        <v>2020</v>
      </c>
      <c r="AH227" s="18">
        <v>2022</v>
      </c>
    </row>
    <row r="228" spans="1:34" ht="111.75" customHeight="1" x14ac:dyDescent="0.35">
      <c r="A228" s="18">
        <v>210</v>
      </c>
      <c r="B228" s="18" t="s">
        <v>27</v>
      </c>
      <c r="C228" s="18" t="s">
        <v>276</v>
      </c>
      <c r="D228" s="8">
        <v>1960</v>
      </c>
      <c r="E228" s="18">
        <v>5</v>
      </c>
      <c r="F228" s="18">
        <v>4</v>
      </c>
      <c r="G228" s="27">
        <v>3263.8</v>
      </c>
      <c r="H228" s="27">
        <v>3061</v>
      </c>
      <c r="I228" s="27">
        <v>2034.5</v>
      </c>
      <c r="J228" s="18">
        <v>90</v>
      </c>
      <c r="K228" s="56" t="s">
        <v>29</v>
      </c>
      <c r="L228" s="18" t="s">
        <v>287</v>
      </c>
      <c r="M228" s="18"/>
      <c r="N228" s="6"/>
      <c r="O228" s="6"/>
      <c r="P228" s="6"/>
      <c r="Q228" s="6"/>
      <c r="R228" s="6"/>
      <c r="S228" s="6"/>
      <c r="T228" s="9"/>
      <c r="U228" s="6"/>
      <c r="V228" s="6">
        <v>16809150.780000001</v>
      </c>
      <c r="W228" s="6"/>
      <c r="X228" s="6">
        <v>14979637.92</v>
      </c>
      <c r="Y228" s="6"/>
      <c r="Z228" s="6">
        <v>24000</v>
      </c>
      <c r="AA228" s="6"/>
      <c r="AB228" s="6">
        <f>SUM(V228+X228+Z228)</f>
        <v>31812788.700000003</v>
      </c>
      <c r="AC228" s="6">
        <f>SUM(V228+X228+Z228)</f>
        <v>31812788.700000003</v>
      </c>
      <c r="AD228" s="6"/>
      <c r="AE228" s="6"/>
      <c r="AF228" s="7"/>
      <c r="AG228" s="18">
        <v>2021</v>
      </c>
      <c r="AH228" s="18">
        <v>2022</v>
      </c>
    </row>
    <row r="229" spans="1:34" ht="115.5" customHeight="1" x14ac:dyDescent="0.35">
      <c r="A229" s="18">
        <v>211</v>
      </c>
      <c r="B229" s="18" t="s">
        <v>27</v>
      </c>
      <c r="C229" s="18" t="s">
        <v>316</v>
      </c>
      <c r="D229" s="18">
        <v>1963</v>
      </c>
      <c r="E229" s="18">
        <v>5</v>
      </c>
      <c r="F229" s="18">
        <v>3</v>
      </c>
      <c r="G229" s="27">
        <v>3108.5</v>
      </c>
      <c r="H229" s="27">
        <v>3108.5</v>
      </c>
      <c r="I229" s="27">
        <v>2412.6</v>
      </c>
      <c r="J229" s="18">
        <v>84</v>
      </c>
      <c r="K229" s="56" t="s">
        <v>29</v>
      </c>
      <c r="L229" s="18" t="s">
        <v>287</v>
      </c>
      <c r="M229" s="18"/>
      <c r="N229" s="6"/>
      <c r="O229" s="6"/>
      <c r="P229" s="6"/>
      <c r="Q229" s="6"/>
      <c r="R229" s="6"/>
      <c r="S229" s="6"/>
      <c r="T229" s="6"/>
      <c r="U229" s="6"/>
      <c r="V229" s="6">
        <v>6807443.0899999999</v>
      </c>
      <c r="W229" s="6"/>
      <c r="X229" s="6">
        <v>10757997.83</v>
      </c>
      <c r="Y229" s="6"/>
      <c r="Z229" s="6">
        <v>24000</v>
      </c>
      <c r="AA229" s="6"/>
      <c r="AB229" s="6">
        <f>SUM(V229+X229+Z229)</f>
        <v>17589440.920000002</v>
      </c>
      <c r="AC229" s="6">
        <f>SUM(V229+X229+Z229)</f>
        <v>17589440.920000002</v>
      </c>
      <c r="AD229" s="6"/>
      <c r="AE229" s="6">
        <f t="shared" si="14"/>
        <v>17589440.920000002</v>
      </c>
      <c r="AF229" s="7"/>
      <c r="AG229" s="18">
        <v>2021</v>
      </c>
      <c r="AH229" s="18">
        <v>2022</v>
      </c>
    </row>
    <row r="230" spans="1:34" ht="84.95" customHeight="1" x14ac:dyDescent="0.35">
      <c r="A230" s="67" t="s">
        <v>198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9"/>
      <c r="N230" s="6">
        <f t="shared" ref="N230:S230" si="22">SUM(N168:N229)</f>
        <v>1942095.546875</v>
      </c>
      <c r="O230" s="6">
        <f t="shared" si="22"/>
        <v>16124278.897849999</v>
      </c>
      <c r="P230" s="6">
        <f t="shared" si="22"/>
        <v>5157302.8347699996</v>
      </c>
      <c r="Q230" s="6">
        <f t="shared" si="22"/>
        <v>1998820.0300199999</v>
      </c>
      <c r="R230" s="6">
        <f t="shared" si="22"/>
        <v>17557930.580000006</v>
      </c>
      <c r="S230" s="6">
        <f t="shared" si="22"/>
        <v>5774776.5596249998</v>
      </c>
      <c r="T230" s="6"/>
      <c r="U230" s="6">
        <f>SUM(U168:U229)</f>
        <v>11669721.51</v>
      </c>
      <c r="V230" s="6">
        <f>SUM(V168:V229)</f>
        <v>323555103.18000001</v>
      </c>
      <c r="W230" s="6"/>
      <c r="X230" s="6"/>
      <c r="Y230" s="6"/>
      <c r="Z230" s="6">
        <f>SUM(Z168:Z229)</f>
        <v>33321409.030000001</v>
      </c>
      <c r="AA230" s="6"/>
      <c r="AB230" s="6">
        <f>SUM(AB168:AB229)</f>
        <v>586844494.12913978</v>
      </c>
      <c r="AC230" s="6"/>
      <c r="AD230" s="6"/>
      <c r="AE230" s="6">
        <f>SUM(AE168:AE229)</f>
        <v>324722048.48913997</v>
      </c>
      <c r="AF230" s="18"/>
      <c r="AG230" s="18"/>
      <c r="AH230" s="18"/>
    </row>
    <row r="231" spans="1:34" ht="84.95" customHeight="1" x14ac:dyDescent="0.35">
      <c r="A231" s="70" t="s">
        <v>199</v>
      </c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2"/>
    </row>
    <row r="232" spans="1:34" ht="84.95" customHeight="1" x14ac:dyDescent="0.35">
      <c r="A232" s="18">
        <v>212</v>
      </c>
      <c r="B232" s="58" t="s">
        <v>27</v>
      </c>
      <c r="C232" s="18" t="s">
        <v>200</v>
      </c>
      <c r="D232" s="18">
        <v>1980</v>
      </c>
      <c r="E232" s="18">
        <v>2</v>
      </c>
      <c r="F232" s="18">
        <v>2</v>
      </c>
      <c r="G232" s="18">
        <v>786.3</v>
      </c>
      <c r="H232" s="18">
        <v>745</v>
      </c>
      <c r="I232" s="18" t="s">
        <v>32</v>
      </c>
      <c r="J232" s="18" t="s">
        <v>32</v>
      </c>
      <c r="K232" s="18" t="s">
        <v>160</v>
      </c>
      <c r="L232" s="18" t="s">
        <v>30</v>
      </c>
      <c r="M232" s="18"/>
      <c r="N232" s="6">
        <f>ROUND(H232*616.25*1.015,2)</f>
        <v>465992.84</v>
      </c>
      <c r="O232" s="6">
        <f>ROUND(H232*2933.55*1.015,2)</f>
        <v>2218277.17</v>
      </c>
      <c r="P232" s="6">
        <f>ROUND(H232*598.59*1.015,2)</f>
        <v>452638.79</v>
      </c>
      <c r="Q232" s="6">
        <f>ROUND(H232*659.34*1.015,2)</f>
        <v>498576.42</v>
      </c>
      <c r="R232" s="6"/>
      <c r="S232" s="6">
        <f>ROUND(H232*1015.78*1.015,2)</f>
        <v>768107.44</v>
      </c>
      <c r="T232" s="6"/>
      <c r="U232" s="6"/>
      <c r="V232" s="6">
        <f>ROUND(8645.31*H232*1.015,2)</f>
        <v>6537367.29</v>
      </c>
      <c r="W232" s="6"/>
      <c r="X232" s="6">
        <f>ROUND(6480.9*H232*1.015,2)</f>
        <v>4900694.5599999996</v>
      </c>
      <c r="Y232" s="6"/>
      <c r="Z232" s="6">
        <v>399817.36</v>
      </c>
      <c r="AA232" s="6"/>
      <c r="AB232" s="6">
        <f t="shared" ref="AB232:AB257" si="23">SUM(N232:Z232)</f>
        <v>16241471.869999997</v>
      </c>
      <c r="AC232" s="6"/>
      <c r="AD232" s="6"/>
      <c r="AE232" s="6">
        <f t="shared" ref="AE232:AE257" si="24">SUM(N232:Z232)</f>
        <v>16241471.869999997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213</v>
      </c>
      <c r="B233" s="18" t="s">
        <v>27</v>
      </c>
      <c r="C233" s="18" t="s">
        <v>225</v>
      </c>
      <c r="D233" s="18">
        <v>1990</v>
      </c>
      <c r="E233" s="18">
        <v>9</v>
      </c>
      <c r="F233" s="18">
        <v>4</v>
      </c>
      <c r="G233" s="27">
        <v>9668.5</v>
      </c>
      <c r="H233" s="27">
        <v>9393.5</v>
      </c>
      <c r="I233" s="27" t="s">
        <v>32</v>
      </c>
      <c r="J233" s="18" t="s">
        <v>32</v>
      </c>
      <c r="K233" s="56" t="s">
        <v>29</v>
      </c>
      <c r="L233" s="18" t="s">
        <v>30</v>
      </c>
      <c r="M233" s="18"/>
      <c r="N233" s="6"/>
      <c r="O233" s="6"/>
      <c r="P233" s="6"/>
      <c r="Q233" s="6"/>
      <c r="R233" s="6"/>
      <c r="S233" s="6"/>
      <c r="T233" s="6"/>
      <c r="U233" s="6"/>
      <c r="V233" s="6">
        <f>ROUND(1914.17*H233*1.015,2)</f>
        <v>18250467.23</v>
      </c>
      <c r="W233" s="6"/>
      <c r="X233" s="6"/>
      <c r="Y233" s="6"/>
      <c r="Z233" s="6">
        <v>655244.74</v>
      </c>
      <c r="AA233" s="6"/>
      <c r="AB233" s="6">
        <f>SUM(N233:Z233)</f>
        <v>18905711.969999999</v>
      </c>
      <c r="AC233" s="6"/>
      <c r="AD233" s="6"/>
      <c r="AE233" s="6">
        <f>SUM(N233:Z233)</f>
        <v>18905711.969999999</v>
      </c>
      <c r="AF233" s="7"/>
      <c r="AG233" s="18">
        <v>2020</v>
      </c>
      <c r="AH233" s="18">
        <v>2022</v>
      </c>
    </row>
    <row r="234" spans="1:34" ht="84.95" customHeight="1" x14ac:dyDescent="0.35">
      <c r="A234" s="18">
        <v>214</v>
      </c>
      <c r="B234" s="58" t="s">
        <v>27</v>
      </c>
      <c r="C234" s="18" t="s">
        <v>201</v>
      </c>
      <c r="D234" s="18">
        <v>1973</v>
      </c>
      <c r="E234" s="18">
        <v>5</v>
      </c>
      <c r="F234" s="18">
        <v>6</v>
      </c>
      <c r="G234" s="28" t="s">
        <v>202</v>
      </c>
      <c r="H234" s="27">
        <v>4784.2</v>
      </c>
      <c r="I234" s="27" t="s">
        <v>32</v>
      </c>
      <c r="J234" s="18" t="s">
        <v>32</v>
      </c>
      <c r="K234" s="18" t="s">
        <v>65</v>
      </c>
      <c r="L234" s="18" t="s">
        <v>30</v>
      </c>
      <c r="M234" s="18"/>
      <c r="N234" s="6"/>
      <c r="O234" s="6">
        <f>ROUND(H234*3201.73*1.015,2)</f>
        <v>15547482.42</v>
      </c>
      <c r="P234" s="6">
        <f>ROUND(H234*620.83*1.015,2)</f>
        <v>3014727.51</v>
      </c>
      <c r="Q234" s="6">
        <f>ROUND(H234*660.21*1.015,2)</f>
        <v>3205955.33</v>
      </c>
      <c r="R234" s="6"/>
      <c r="S234" s="6">
        <f>ROUND(H234*665.62*1.015,2)</f>
        <v>3232226.09</v>
      </c>
      <c r="T234" s="6"/>
      <c r="U234" s="6"/>
      <c r="V234" s="6">
        <f>ROUND(3727.29*H234*1.015,2)</f>
        <v>18099582.329999998</v>
      </c>
      <c r="W234" s="6"/>
      <c r="X234" s="6">
        <f>ROUND(3435.59*H234*1.015,2)</f>
        <v>16683097.92</v>
      </c>
      <c r="Y234" s="6"/>
      <c r="Z234" s="6">
        <v>1112855.68</v>
      </c>
      <c r="AA234" s="6"/>
      <c r="AB234" s="6">
        <f t="shared" si="23"/>
        <v>60895927.279999994</v>
      </c>
      <c r="AC234" s="6"/>
      <c r="AD234" s="6"/>
      <c r="AE234" s="6">
        <f t="shared" si="24"/>
        <v>60895927.279999994</v>
      </c>
      <c r="AF234" s="7"/>
      <c r="AG234" s="18">
        <v>2020</v>
      </c>
      <c r="AH234" s="18">
        <v>2022</v>
      </c>
    </row>
    <row r="235" spans="1:34" ht="84.95" customHeight="1" x14ac:dyDescent="0.35">
      <c r="A235" s="18">
        <v>215</v>
      </c>
      <c r="B235" s="18" t="s">
        <v>27</v>
      </c>
      <c r="C235" s="18" t="s">
        <v>310</v>
      </c>
      <c r="D235" s="18">
        <v>1966</v>
      </c>
      <c r="E235" s="18">
        <v>5</v>
      </c>
      <c r="F235" s="18">
        <v>8</v>
      </c>
      <c r="G235" s="28">
        <v>5856.5</v>
      </c>
      <c r="H235" s="27">
        <v>4056.9</v>
      </c>
      <c r="I235" s="27">
        <v>3999.6</v>
      </c>
      <c r="J235" s="18">
        <v>230</v>
      </c>
      <c r="K235" s="18" t="s">
        <v>29</v>
      </c>
      <c r="L235" s="18" t="s">
        <v>30</v>
      </c>
      <c r="M235" s="18"/>
      <c r="N235" s="6"/>
      <c r="O235" s="6">
        <v>19917322.890000001</v>
      </c>
      <c r="P235" s="6">
        <v>3866136.66</v>
      </c>
      <c r="Q235" s="6">
        <v>3823919.55</v>
      </c>
      <c r="R235" s="6">
        <v>1215410.51</v>
      </c>
      <c r="S235" s="6">
        <v>3832541.35</v>
      </c>
      <c r="T235" s="9"/>
      <c r="U235" s="6"/>
      <c r="V235" s="6"/>
      <c r="W235" s="6"/>
      <c r="X235" s="6"/>
      <c r="Y235" s="6"/>
      <c r="Z235" s="6">
        <v>1457558.06</v>
      </c>
      <c r="AA235" s="6"/>
      <c r="AB235" s="6">
        <f>SUM(O235+P235+Q235+S235+Z235)</f>
        <v>32897478.510000002</v>
      </c>
      <c r="AC235" s="6"/>
      <c r="AD235" s="6"/>
      <c r="AE235" s="6">
        <f>AB235</f>
        <v>32897478.510000002</v>
      </c>
      <c r="AF235" s="7"/>
      <c r="AG235" s="18">
        <v>2022</v>
      </c>
      <c r="AH235" s="18">
        <v>2023</v>
      </c>
    </row>
    <row r="236" spans="1:34" ht="84.95" customHeight="1" x14ac:dyDescent="0.35">
      <c r="A236" s="18">
        <v>216</v>
      </c>
      <c r="B236" s="58" t="s">
        <v>27</v>
      </c>
      <c r="C236" s="18" t="s">
        <v>92</v>
      </c>
      <c r="D236" s="18">
        <v>1955</v>
      </c>
      <c r="E236" s="18">
        <v>5</v>
      </c>
      <c r="F236" s="18">
        <v>4</v>
      </c>
      <c r="G236" s="27">
        <v>5143.3999999999996</v>
      </c>
      <c r="H236" s="27">
        <v>3438.3</v>
      </c>
      <c r="I236" s="27">
        <v>3409.3</v>
      </c>
      <c r="J236" s="18" t="s">
        <v>32</v>
      </c>
      <c r="K236" s="18" t="s">
        <v>29</v>
      </c>
      <c r="L236" s="18" t="s">
        <v>30</v>
      </c>
      <c r="M236" s="18"/>
      <c r="N236" s="6"/>
      <c r="O236" s="6"/>
      <c r="P236" s="6"/>
      <c r="Q236" s="6"/>
      <c r="R236" s="6"/>
      <c r="S236" s="6"/>
      <c r="T236" s="6">
        <f>ROUND(H236*338.11*1.015,2)</f>
        <v>1179961.47</v>
      </c>
      <c r="U236" s="6"/>
      <c r="V236" s="6"/>
      <c r="W236" s="6"/>
      <c r="X236" s="6"/>
      <c r="Y236" s="6"/>
      <c r="Z236" s="6">
        <v>486639.82</v>
      </c>
      <c r="AA236" s="6"/>
      <c r="AB236" s="6">
        <f t="shared" si="23"/>
        <v>1666601.29</v>
      </c>
      <c r="AC236" s="6"/>
      <c r="AD236" s="6"/>
      <c r="AE236" s="6">
        <f t="shared" si="24"/>
        <v>1666601.29</v>
      </c>
      <c r="AF236" s="7"/>
      <c r="AG236" s="18">
        <v>2020</v>
      </c>
      <c r="AH236" s="18">
        <v>2022</v>
      </c>
    </row>
    <row r="237" spans="1:34" ht="84.95" customHeight="1" x14ac:dyDescent="0.35">
      <c r="A237" s="18">
        <v>217</v>
      </c>
      <c r="B237" s="58" t="s">
        <v>27</v>
      </c>
      <c r="C237" s="18" t="s">
        <v>203</v>
      </c>
      <c r="D237" s="18">
        <v>1949</v>
      </c>
      <c r="E237" s="18">
        <v>5</v>
      </c>
      <c r="F237" s="18">
        <v>3</v>
      </c>
      <c r="G237" s="28" t="s">
        <v>204</v>
      </c>
      <c r="H237" s="27">
        <v>2960.3</v>
      </c>
      <c r="I237" s="27" t="s">
        <v>32</v>
      </c>
      <c r="J237" s="18" t="s">
        <v>32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6"/>
      <c r="U237" s="6"/>
      <c r="V237" s="6">
        <f>ROUND(3727.29*H237*1.015,2)</f>
        <v>11199405.039999999</v>
      </c>
      <c r="W237" s="6"/>
      <c r="X237" s="6"/>
      <c r="Y237" s="6"/>
      <c r="Z237" s="6">
        <v>559881.46</v>
      </c>
      <c r="AA237" s="6"/>
      <c r="AB237" s="6">
        <f t="shared" si="23"/>
        <v>11759286.5</v>
      </c>
      <c r="AC237" s="10"/>
      <c r="AD237" s="6"/>
      <c r="AE237" s="6">
        <f t="shared" si="24"/>
        <v>11759286.5</v>
      </c>
      <c r="AF237" s="7"/>
      <c r="AG237" s="18">
        <v>2020</v>
      </c>
      <c r="AH237" s="18">
        <v>2022</v>
      </c>
    </row>
    <row r="238" spans="1:34" ht="84.95" customHeight="1" x14ac:dyDescent="0.35">
      <c r="A238" s="18">
        <v>218</v>
      </c>
      <c r="B238" s="58" t="s">
        <v>27</v>
      </c>
      <c r="C238" s="18" t="s">
        <v>205</v>
      </c>
      <c r="D238" s="18">
        <v>1960</v>
      </c>
      <c r="E238" s="18">
        <v>2</v>
      </c>
      <c r="F238" s="18">
        <v>2</v>
      </c>
      <c r="G238" s="28" t="s">
        <v>206</v>
      </c>
      <c r="H238" s="27">
        <v>525.6</v>
      </c>
      <c r="I238" s="27" t="s">
        <v>32</v>
      </c>
      <c r="J238" s="18" t="s">
        <v>32</v>
      </c>
      <c r="K238" s="18" t="s">
        <v>160</v>
      </c>
      <c r="L238" s="18" t="s">
        <v>30</v>
      </c>
      <c r="M238" s="18"/>
      <c r="N238" s="6"/>
      <c r="O238" s="6"/>
      <c r="P238" s="6"/>
      <c r="Q238" s="6"/>
      <c r="R238" s="6"/>
      <c r="S238" s="6"/>
      <c r="T238" s="6"/>
      <c r="U238" s="6"/>
      <c r="V238" s="6">
        <f>ROUND(8645.31*H238*1.015,2)</f>
        <v>4612134.5599999996</v>
      </c>
      <c r="W238" s="6"/>
      <c r="X238" s="6"/>
      <c r="Y238" s="6"/>
      <c r="Z238" s="6">
        <v>157120.85</v>
      </c>
      <c r="AA238" s="6"/>
      <c r="AB238" s="6">
        <f t="shared" si="23"/>
        <v>4769255.4099999992</v>
      </c>
      <c r="AC238" s="6"/>
      <c r="AD238" s="6"/>
      <c r="AE238" s="6">
        <f t="shared" si="24"/>
        <v>4769255.4099999992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219</v>
      </c>
      <c r="B239" s="58" t="s">
        <v>27</v>
      </c>
      <c r="C239" s="18" t="s">
        <v>207</v>
      </c>
      <c r="D239" s="18">
        <v>1950</v>
      </c>
      <c r="E239" s="18">
        <v>4</v>
      </c>
      <c r="F239" s="18">
        <v>3</v>
      </c>
      <c r="G239" s="27">
        <v>2135.1</v>
      </c>
      <c r="H239" s="27">
        <v>2011.4</v>
      </c>
      <c r="I239" s="27">
        <v>1416.2</v>
      </c>
      <c r="J239" s="18" t="s">
        <v>32</v>
      </c>
      <c r="K239" s="18" t="s">
        <v>29</v>
      </c>
      <c r="L239" s="18" t="s">
        <v>30</v>
      </c>
      <c r="M239" s="18"/>
      <c r="N239" s="6">
        <f>ROUND(H239*616.25*1.015,2)</f>
        <v>1258118.1299999999</v>
      </c>
      <c r="O239" s="6">
        <f>ROUND(H239*1074.75*1.015,2)</f>
        <v>2194178.4300000002</v>
      </c>
      <c r="P239" s="6">
        <f>ROUND(H239*596.38*1.015,2)</f>
        <v>1217552.1100000001</v>
      </c>
      <c r="Q239" s="6">
        <f>ROUND(H239*589.88*1.015,2)</f>
        <v>1204281.8999999999</v>
      </c>
      <c r="R239" s="6"/>
      <c r="S239" s="6">
        <f>ROUND(H239*871.5*1.015,2)</f>
        <v>1779229.13</v>
      </c>
      <c r="T239" s="6"/>
      <c r="U239" s="6"/>
      <c r="V239" s="6"/>
      <c r="W239" s="6"/>
      <c r="X239" s="6"/>
      <c r="Y239" s="6"/>
      <c r="Z239" s="6">
        <v>557819.36</v>
      </c>
      <c r="AA239" s="6"/>
      <c r="AB239" s="6">
        <f t="shared" si="23"/>
        <v>8211179.0600000005</v>
      </c>
      <c r="AC239" s="6"/>
      <c r="AD239" s="6"/>
      <c r="AE239" s="6">
        <f t="shared" si="24"/>
        <v>8211179.0600000005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220</v>
      </c>
      <c r="B240" s="18" t="s">
        <v>27</v>
      </c>
      <c r="C240" s="18" t="s">
        <v>208</v>
      </c>
      <c r="D240" s="18">
        <v>1954</v>
      </c>
      <c r="E240" s="18">
        <v>5</v>
      </c>
      <c r="F240" s="18">
        <v>4</v>
      </c>
      <c r="G240" s="28" t="s">
        <v>209</v>
      </c>
      <c r="H240" s="27">
        <v>2284.9</v>
      </c>
      <c r="I240" s="27" t="s">
        <v>32</v>
      </c>
      <c r="J240" s="18" t="s">
        <v>32</v>
      </c>
      <c r="K240" s="18" t="s">
        <v>29</v>
      </c>
      <c r="L240" s="18" t="s">
        <v>30</v>
      </c>
      <c r="M240" s="18"/>
      <c r="N240" s="6"/>
      <c r="O240" s="6"/>
      <c r="P240" s="6"/>
      <c r="Q240" s="6"/>
      <c r="R240" s="6"/>
      <c r="S240" s="6"/>
      <c r="T240" s="6"/>
      <c r="U240" s="6"/>
      <c r="V240" s="6">
        <f>ROUND(3727.29*H240*1.015,2)</f>
        <v>8644232.1899999995</v>
      </c>
      <c r="W240" s="6"/>
      <c r="X240" s="6"/>
      <c r="Y240" s="6"/>
      <c r="Z240" s="6">
        <v>506206.99</v>
      </c>
      <c r="AA240" s="6"/>
      <c r="AB240" s="6">
        <f t="shared" si="23"/>
        <v>9150439.1799999997</v>
      </c>
      <c r="AC240" s="6"/>
      <c r="AD240" s="6"/>
      <c r="AE240" s="6">
        <f t="shared" si="24"/>
        <v>9150439.1799999997</v>
      </c>
      <c r="AF240" s="7"/>
      <c r="AG240" s="18">
        <v>2020</v>
      </c>
      <c r="AH240" s="18">
        <v>2022</v>
      </c>
    </row>
    <row r="241" spans="1:34" ht="84.95" customHeight="1" x14ac:dyDescent="0.35">
      <c r="A241" s="18">
        <v>221</v>
      </c>
      <c r="B241" s="58" t="s">
        <v>27</v>
      </c>
      <c r="C241" s="18" t="s">
        <v>210</v>
      </c>
      <c r="D241" s="18">
        <v>1957</v>
      </c>
      <c r="E241" s="18">
        <v>4</v>
      </c>
      <c r="F241" s="18">
        <v>3</v>
      </c>
      <c r="G241" s="27">
        <v>2566.1999999999998</v>
      </c>
      <c r="H241" s="27">
        <v>1741.8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/>
      <c r="S241" s="6"/>
      <c r="T241" s="6"/>
      <c r="U241" s="6"/>
      <c r="V241" s="6">
        <f>ROUND(4075.29*H241*1.015,2)</f>
        <v>7204815.2199999997</v>
      </c>
      <c r="W241" s="6"/>
      <c r="X241" s="6"/>
      <c r="Y241" s="6"/>
      <c r="Z241" s="6">
        <v>368408.7</v>
      </c>
      <c r="AA241" s="6"/>
      <c r="AB241" s="6">
        <f t="shared" si="23"/>
        <v>7573223.9199999999</v>
      </c>
      <c r="AC241" s="6"/>
      <c r="AD241" s="6"/>
      <c r="AE241" s="6">
        <f t="shared" si="24"/>
        <v>7573223.9199999999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222</v>
      </c>
      <c r="B242" s="58" t="s">
        <v>27</v>
      </c>
      <c r="C242" s="18" t="s">
        <v>211</v>
      </c>
      <c r="D242" s="18">
        <v>1962</v>
      </c>
      <c r="E242" s="18">
        <v>5</v>
      </c>
      <c r="F242" s="18">
        <v>4</v>
      </c>
      <c r="G242" s="28" t="s">
        <v>212</v>
      </c>
      <c r="H242" s="27">
        <v>2559.9</v>
      </c>
      <c r="I242" s="27" t="s">
        <v>32</v>
      </c>
      <c r="J242" s="18" t="s">
        <v>32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6"/>
      <c r="U242" s="6"/>
      <c r="V242" s="6">
        <f>ROUND(3727.29*H242*1.015,2)</f>
        <v>9684612.0199999996</v>
      </c>
      <c r="W242" s="6"/>
      <c r="X242" s="6"/>
      <c r="Y242" s="6"/>
      <c r="Z242" s="6">
        <v>503531.44</v>
      </c>
      <c r="AA242" s="6"/>
      <c r="AB242" s="6">
        <f t="shared" si="23"/>
        <v>10188143.459999999</v>
      </c>
      <c r="AC242" s="6"/>
      <c r="AD242" s="6"/>
      <c r="AE242" s="6">
        <f t="shared" si="24"/>
        <v>10188143.459999999</v>
      </c>
      <c r="AF242" s="7"/>
      <c r="AG242" s="18">
        <v>2020</v>
      </c>
      <c r="AH242" s="18">
        <v>2022</v>
      </c>
    </row>
    <row r="243" spans="1:34" ht="84.95" customHeight="1" x14ac:dyDescent="0.35">
      <c r="A243" s="18">
        <v>223</v>
      </c>
      <c r="B243" s="58" t="s">
        <v>27</v>
      </c>
      <c r="C243" s="18" t="s">
        <v>213</v>
      </c>
      <c r="D243" s="18">
        <v>1972</v>
      </c>
      <c r="E243" s="18">
        <v>5</v>
      </c>
      <c r="F243" s="18">
        <v>5</v>
      </c>
      <c r="G243" s="27">
        <v>5177.3</v>
      </c>
      <c r="H243" s="27">
        <v>4648.1000000000004</v>
      </c>
      <c r="I243" s="8">
        <v>3957.5</v>
      </c>
      <c r="J243" s="18">
        <v>162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/>
      <c r="W243" s="6">
        <f>763.97*H243*1.015</f>
        <v>3604274.0913550002</v>
      </c>
      <c r="X243" s="6">
        <f>3170.13*H243*1.015</f>
        <v>14956107.471795</v>
      </c>
      <c r="Y243" s="6">
        <f>1135.41*H243*1.015</f>
        <v>5356661.7093150001</v>
      </c>
      <c r="Z243" s="6">
        <v>635639.35</v>
      </c>
      <c r="AA243" s="6"/>
      <c r="AB243" s="6">
        <f t="shared" si="23"/>
        <v>24552682.622465</v>
      </c>
      <c r="AC243" s="6"/>
      <c r="AD243" s="6"/>
      <c r="AE243" s="6">
        <f t="shared" si="24"/>
        <v>24552682.622465</v>
      </c>
      <c r="AF243" s="7"/>
      <c r="AG243" s="18">
        <v>2020</v>
      </c>
      <c r="AH243" s="18">
        <v>2022</v>
      </c>
    </row>
    <row r="244" spans="1:34" ht="84.95" customHeight="1" x14ac:dyDescent="0.35">
      <c r="A244" s="18">
        <v>224</v>
      </c>
      <c r="B244" s="18" t="s">
        <v>27</v>
      </c>
      <c r="C244" s="18" t="s">
        <v>214</v>
      </c>
      <c r="D244" s="18">
        <v>1971</v>
      </c>
      <c r="E244" s="18">
        <v>5</v>
      </c>
      <c r="F244" s="18">
        <v>7</v>
      </c>
      <c r="G244" s="27">
        <v>7077.4</v>
      </c>
      <c r="H244" s="27">
        <v>6324.3</v>
      </c>
      <c r="I244" s="8">
        <v>5514.6</v>
      </c>
      <c r="J244" s="18">
        <v>238</v>
      </c>
      <c r="K244" s="18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/>
      <c r="W244" s="6">
        <f>763.97*H244*1.015</f>
        <v>4904049.103064999</v>
      </c>
      <c r="X244" s="6">
        <f>3170.13*H244*1.015</f>
        <v>20349585.956385002</v>
      </c>
      <c r="Y244" s="6">
        <f>1135.41*H244*1.015</f>
        <v>7288383.5649450002</v>
      </c>
      <c r="Z244" s="6">
        <v>701067.64</v>
      </c>
      <c r="AA244" s="6"/>
      <c r="AB244" s="6">
        <f>SUM(N244:Z244)</f>
        <v>33243086.264395002</v>
      </c>
      <c r="AC244" s="6"/>
      <c r="AD244" s="6"/>
      <c r="AE244" s="6">
        <f t="shared" si="24"/>
        <v>33243086.264395002</v>
      </c>
      <c r="AF244" s="7"/>
      <c r="AG244" s="18">
        <v>2020</v>
      </c>
      <c r="AH244" s="18">
        <v>2022</v>
      </c>
    </row>
    <row r="245" spans="1:34" ht="84.95" customHeight="1" x14ac:dyDescent="0.35">
      <c r="A245" s="18">
        <v>225</v>
      </c>
      <c r="B245" s="58" t="s">
        <v>27</v>
      </c>
      <c r="C245" s="18" t="s">
        <v>215</v>
      </c>
      <c r="D245" s="18">
        <v>1937</v>
      </c>
      <c r="E245" s="18">
        <v>3</v>
      </c>
      <c r="F245" s="18">
        <v>4</v>
      </c>
      <c r="G245" s="27" t="s">
        <v>216</v>
      </c>
      <c r="H245" s="27">
        <v>815.3</v>
      </c>
      <c r="I245" s="27" t="s">
        <v>32</v>
      </c>
      <c r="J245" s="18" t="s">
        <v>32</v>
      </c>
      <c r="K245" s="18" t="s">
        <v>160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/>
      <c r="V245" s="6">
        <f>ROUND(5222.75*H245*1.015,2)</f>
        <v>4321979.7</v>
      </c>
      <c r="W245" s="6"/>
      <c r="X245" s="6"/>
      <c r="Y245" s="6"/>
      <c r="Z245" s="6">
        <v>329793.06</v>
      </c>
      <c r="AA245" s="6"/>
      <c r="AB245" s="6">
        <f t="shared" si="23"/>
        <v>4651772.76</v>
      </c>
      <c r="AC245" s="6"/>
      <c r="AD245" s="6"/>
      <c r="AE245" s="6">
        <f t="shared" si="24"/>
        <v>4651772.76</v>
      </c>
      <c r="AF245" s="7"/>
      <c r="AG245" s="18">
        <v>2020</v>
      </c>
      <c r="AH245" s="18">
        <v>2022</v>
      </c>
    </row>
    <row r="246" spans="1:34" ht="84.95" customHeight="1" x14ac:dyDescent="0.35">
      <c r="A246" s="18">
        <v>226</v>
      </c>
      <c r="B246" s="58" t="s">
        <v>27</v>
      </c>
      <c r="C246" s="18" t="s">
        <v>217</v>
      </c>
      <c r="D246" s="18">
        <v>1952</v>
      </c>
      <c r="E246" s="18">
        <v>2</v>
      </c>
      <c r="F246" s="18">
        <v>2</v>
      </c>
      <c r="G246" s="27">
        <v>924.8</v>
      </c>
      <c r="H246" s="27">
        <v>608.1</v>
      </c>
      <c r="I246" s="27" t="s">
        <v>32</v>
      </c>
      <c r="J246" s="18" t="s">
        <v>32</v>
      </c>
      <c r="K246" s="18" t="s">
        <v>160</v>
      </c>
      <c r="L246" s="18" t="s">
        <v>30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f>ROUND(8645.31*H246*1.015,2)</f>
        <v>5336071.21</v>
      </c>
      <c r="W246" s="6"/>
      <c r="X246" s="6"/>
      <c r="Y246" s="6"/>
      <c r="Z246" s="6">
        <v>74705</v>
      </c>
      <c r="AA246" s="6"/>
      <c r="AB246" s="6">
        <f t="shared" si="23"/>
        <v>5410776.21</v>
      </c>
      <c r="AC246" s="6"/>
      <c r="AD246" s="6"/>
      <c r="AE246" s="6">
        <f t="shared" si="24"/>
        <v>5410776.21</v>
      </c>
      <c r="AF246" s="7"/>
      <c r="AG246" s="18">
        <v>2020</v>
      </c>
      <c r="AH246" s="18">
        <v>2022</v>
      </c>
    </row>
    <row r="247" spans="1:34" ht="84.95" customHeight="1" x14ac:dyDescent="0.35">
      <c r="A247" s="18">
        <v>227</v>
      </c>
      <c r="B247" s="58" t="s">
        <v>27</v>
      </c>
      <c r="C247" s="18" t="s">
        <v>218</v>
      </c>
      <c r="D247" s="18">
        <v>1960</v>
      </c>
      <c r="E247" s="18">
        <v>4</v>
      </c>
      <c r="F247" s="18">
        <v>2</v>
      </c>
      <c r="G247" s="27" t="s">
        <v>219</v>
      </c>
      <c r="H247" s="27">
        <v>1281.7</v>
      </c>
      <c r="I247" s="27" t="s">
        <v>32</v>
      </c>
      <c r="J247" s="18" t="s">
        <v>32</v>
      </c>
      <c r="K247" s="18" t="s">
        <v>160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>
        <f>ROUND(4075.29*H247*1.015,2)</f>
        <v>5301648.68</v>
      </c>
      <c r="W247" s="6"/>
      <c r="X247" s="6"/>
      <c r="Y247" s="6"/>
      <c r="Z247" s="6">
        <v>321553.62</v>
      </c>
      <c r="AA247" s="6"/>
      <c r="AB247" s="6">
        <f t="shared" si="23"/>
        <v>5623202.2999999998</v>
      </c>
      <c r="AC247" s="6"/>
      <c r="AD247" s="6"/>
      <c r="AE247" s="6">
        <f t="shared" si="24"/>
        <v>5623202.2999999998</v>
      </c>
      <c r="AF247" s="7"/>
      <c r="AG247" s="18">
        <v>2020</v>
      </c>
      <c r="AH247" s="18">
        <v>2022</v>
      </c>
    </row>
    <row r="248" spans="1:34" ht="84.95" customHeight="1" x14ac:dyDescent="0.35">
      <c r="A248" s="18">
        <v>228</v>
      </c>
      <c r="B248" s="18" t="s">
        <v>27</v>
      </c>
      <c r="C248" s="18" t="s">
        <v>220</v>
      </c>
      <c r="D248" s="18">
        <v>1989</v>
      </c>
      <c r="E248" s="18">
        <v>10</v>
      </c>
      <c r="F248" s="18">
        <v>2</v>
      </c>
      <c r="G248" s="27">
        <v>5939.3</v>
      </c>
      <c r="H248" s="27">
        <v>5889.1</v>
      </c>
      <c r="I248" s="27" t="s">
        <v>32</v>
      </c>
      <c r="J248" s="18" t="s">
        <v>32</v>
      </c>
      <c r="K248" s="18" t="s">
        <v>221</v>
      </c>
      <c r="L248" s="18" t="s">
        <v>288</v>
      </c>
      <c r="M248" s="18"/>
      <c r="N248" s="6"/>
      <c r="O248" s="6"/>
      <c r="P248" s="6"/>
      <c r="Q248" s="6"/>
      <c r="R248" s="6"/>
      <c r="S248" s="6"/>
      <c r="T248" s="6"/>
      <c r="U248" s="6"/>
      <c r="V248" s="6"/>
      <c r="W248" s="6">
        <f>635.48*H248*1.015</f>
        <v>3798541.3470199998</v>
      </c>
      <c r="X248" s="6"/>
      <c r="Y248" s="6"/>
      <c r="Z248" s="6">
        <v>411596.45</v>
      </c>
      <c r="AA248" s="6"/>
      <c r="AB248" s="6">
        <f t="shared" si="23"/>
        <v>4210137.7970199995</v>
      </c>
      <c r="AC248" s="6"/>
      <c r="AD248" s="6"/>
      <c r="AE248" s="6">
        <f t="shared" si="24"/>
        <v>4210137.7970199995</v>
      </c>
      <c r="AF248" s="7"/>
      <c r="AG248" s="18">
        <v>2020</v>
      </c>
      <c r="AH248" s="18">
        <v>2022</v>
      </c>
    </row>
    <row r="249" spans="1:34" ht="84.95" customHeight="1" x14ac:dyDescent="0.35">
      <c r="A249" s="18">
        <v>229</v>
      </c>
      <c r="B249" s="58" t="s">
        <v>27</v>
      </c>
      <c r="C249" s="18" t="s">
        <v>222</v>
      </c>
      <c r="D249" s="18">
        <v>1976</v>
      </c>
      <c r="E249" s="18">
        <v>5</v>
      </c>
      <c r="F249" s="18">
        <v>2</v>
      </c>
      <c r="G249" s="27">
        <v>3867.2</v>
      </c>
      <c r="H249" s="27">
        <v>3212.4</v>
      </c>
      <c r="I249" s="27" t="s">
        <v>32</v>
      </c>
      <c r="J249" s="18" t="s">
        <v>32</v>
      </c>
      <c r="K249" s="56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6">
        <f>ROUND(3727.29*H249*1.015,2)</f>
        <v>12153149.59</v>
      </c>
      <c r="W249" s="6"/>
      <c r="X249" s="6"/>
      <c r="Y249" s="6"/>
      <c r="Z249" s="6">
        <v>351540.19</v>
      </c>
      <c r="AA249" s="6"/>
      <c r="AB249" s="6">
        <f t="shared" si="23"/>
        <v>12504689.779999999</v>
      </c>
      <c r="AC249" s="6"/>
      <c r="AD249" s="6"/>
      <c r="AE249" s="6">
        <f t="shared" si="24"/>
        <v>12504689.779999999</v>
      </c>
      <c r="AF249" s="7"/>
      <c r="AG249" s="18">
        <v>2020</v>
      </c>
      <c r="AH249" s="18">
        <v>2022</v>
      </c>
    </row>
    <row r="250" spans="1:34" ht="84.95" customHeight="1" x14ac:dyDescent="0.35">
      <c r="A250" s="18">
        <v>230</v>
      </c>
      <c r="B250" s="58" t="s">
        <v>27</v>
      </c>
      <c r="C250" s="18" t="s">
        <v>246</v>
      </c>
      <c r="D250" s="18">
        <v>1970</v>
      </c>
      <c r="E250" s="18">
        <v>5</v>
      </c>
      <c r="F250" s="18">
        <v>8</v>
      </c>
      <c r="G250" s="27">
        <v>6607.5</v>
      </c>
      <c r="H250" s="27">
        <v>6019.7</v>
      </c>
      <c r="I250" s="27" t="s">
        <v>32</v>
      </c>
      <c r="J250" s="18" t="s">
        <v>32</v>
      </c>
      <c r="K250" s="56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6">
        <v>15914460.880000001</v>
      </c>
      <c r="W250" s="6"/>
      <c r="X250" s="6">
        <v>6730160.04</v>
      </c>
      <c r="Y250" s="6"/>
      <c r="Z250" s="6">
        <v>318289.21999999997</v>
      </c>
      <c r="AA250" s="6"/>
      <c r="AB250" s="6">
        <f t="shared" si="23"/>
        <v>22962910.140000001</v>
      </c>
      <c r="AC250" s="6"/>
      <c r="AD250" s="6"/>
      <c r="AE250" s="6">
        <v>22962910.140000001</v>
      </c>
      <c r="AF250" s="7"/>
      <c r="AG250" s="18">
        <v>2020</v>
      </c>
      <c r="AH250" s="18">
        <v>2022</v>
      </c>
    </row>
    <row r="251" spans="1:34" ht="84.95" customHeight="1" x14ac:dyDescent="0.35">
      <c r="A251" s="18">
        <v>231</v>
      </c>
      <c r="B251" s="18" t="s">
        <v>27</v>
      </c>
      <c r="C251" s="18" t="s">
        <v>223</v>
      </c>
      <c r="D251" s="18">
        <v>1962</v>
      </c>
      <c r="E251" s="18">
        <v>5</v>
      </c>
      <c r="F251" s="18">
        <v>3</v>
      </c>
      <c r="G251" s="27">
        <v>2565.1</v>
      </c>
      <c r="H251" s="27">
        <v>2532.8000000000002</v>
      </c>
      <c r="I251" s="27" t="s">
        <v>32</v>
      </c>
      <c r="J251" s="18" t="s">
        <v>32</v>
      </c>
      <c r="K251" s="56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/>
      <c r="U251" s="6"/>
      <c r="V251" s="6">
        <f>ROUND(3727.29*H251*1.015,2)</f>
        <v>9582087.3100000005</v>
      </c>
      <c r="W251" s="6"/>
      <c r="X251" s="6"/>
      <c r="Y251" s="6"/>
      <c r="Z251" s="6">
        <v>315469.21000000002</v>
      </c>
      <c r="AA251" s="6"/>
      <c r="AB251" s="6">
        <f t="shared" si="23"/>
        <v>9897556.5200000014</v>
      </c>
      <c r="AC251" s="6"/>
      <c r="AD251" s="6"/>
      <c r="AE251" s="6">
        <f t="shared" si="24"/>
        <v>9897556.5200000014</v>
      </c>
      <c r="AF251" s="7"/>
      <c r="AG251" s="18">
        <v>2020</v>
      </c>
      <c r="AH251" s="18">
        <v>2022</v>
      </c>
    </row>
    <row r="252" spans="1:34" ht="84.95" customHeight="1" x14ac:dyDescent="0.35">
      <c r="A252" s="18">
        <v>232</v>
      </c>
      <c r="B252" s="18" t="s">
        <v>27</v>
      </c>
      <c r="C252" s="18" t="s">
        <v>163</v>
      </c>
      <c r="D252" s="18">
        <v>1953</v>
      </c>
      <c r="E252" s="18">
        <v>4</v>
      </c>
      <c r="F252" s="18">
        <v>3</v>
      </c>
      <c r="G252" s="27">
        <v>1621.2</v>
      </c>
      <c r="H252" s="27">
        <v>1040.3</v>
      </c>
      <c r="I252" s="27" t="s">
        <v>32</v>
      </c>
      <c r="J252" s="18" t="s">
        <v>32</v>
      </c>
      <c r="K252" s="56" t="s">
        <v>29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6"/>
      <c r="W252" s="6">
        <v>163137.24525000001</v>
      </c>
      <c r="X252" s="6"/>
      <c r="Y252" s="6"/>
      <c r="Z252" s="6">
        <v>7014.9</v>
      </c>
      <c r="AA252" s="6"/>
      <c r="AB252" s="6">
        <f>SUM(W252+Z252)</f>
        <v>170152.14525</v>
      </c>
      <c r="AC252" s="6"/>
      <c r="AD252" s="6"/>
      <c r="AE252" s="6">
        <f>AB252</f>
        <v>170152.14525</v>
      </c>
      <c r="AF252" s="7"/>
      <c r="AG252" s="18">
        <v>2020</v>
      </c>
      <c r="AH252" s="18">
        <v>2022</v>
      </c>
    </row>
    <row r="253" spans="1:34" ht="84.95" customHeight="1" x14ac:dyDescent="0.35">
      <c r="A253" s="18">
        <v>233</v>
      </c>
      <c r="B253" s="58" t="s">
        <v>27</v>
      </c>
      <c r="C253" s="18" t="s">
        <v>224</v>
      </c>
      <c r="D253" s="18">
        <v>1956</v>
      </c>
      <c r="E253" s="18">
        <v>5</v>
      </c>
      <c r="F253" s="18">
        <v>2</v>
      </c>
      <c r="G253" s="27">
        <v>2975.2</v>
      </c>
      <c r="H253" s="27">
        <v>1667.3</v>
      </c>
      <c r="I253" s="27" t="s">
        <v>32</v>
      </c>
      <c r="J253" s="18" t="s">
        <v>32</v>
      </c>
      <c r="K253" s="56" t="s">
        <v>29</v>
      </c>
      <c r="L253" s="18" t="s">
        <v>30</v>
      </c>
      <c r="M253" s="18"/>
      <c r="N253" s="6"/>
      <c r="O253" s="6"/>
      <c r="P253" s="6"/>
      <c r="Q253" s="6"/>
      <c r="R253" s="6"/>
      <c r="S253" s="6"/>
      <c r="T253" s="6"/>
      <c r="U253" s="6"/>
      <c r="V253" s="6">
        <f>ROUND(3727.29*H253*1.015,2)</f>
        <v>6307728.2800000003</v>
      </c>
      <c r="W253" s="6"/>
      <c r="X253" s="6"/>
      <c r="Y253" s="6"/>
      <c r="Z253" s="6">
        <v>486116.38</v>
      </c>
      <c r="AA253" s="6"/>
      <c r="AB253" s="6">
        <f t="shared" si="23"/>
        <v>6793844.6600000001</v>
      </c>
      <c r="AC253" s="6"/>
      <c r="AD253" s="6"/>
      <c r="AE253" s="6">
        <f t="shared" si="24"/>
        <v>6793844.6600000001</v>
      </c>
      <c r="AF253" s="7"/>
      <c r="AG253" s="18">
        <v>2020</v>
      </c>
      <c r="AH253" s="18">
        <v>2022</v>
      </c>
    </row>
    <row r="254" spans="1:34" ht="84.95" customHeight="1" x14ac:dyDescent="0.35">
      <c r="A254" s="18">
        <v>234</v>
      </c>
      <c r="B254" s="58" t="s">
        <v>27</v>
      </c>
      <c r="C254" s="58" t="s">
        <v>301</v>
      </c>
      <c r="D254" s="58">
        <v>1951</v>
      </c>
      <c r="E254" s="58">
        <v>2</v>
      </c>
      <c r="F254" s="58">
        <v>2</v>
      </c>
      <c r="G254" s="29">
        <v>954.8</v>
      </c>
      <c r="H254" s="29">
        <v>954.8</v>
      </c>
      <c r="I254" s="29">
        <v>592.20000000000005</v>
      </c>
      <c r="J254" s="58">
        <v>33</v>
      </c>
      <c r="K254" s="11" t="s">
        <v>124</v>
      </c>
      <c r="L254" s="58" t="s">
        <v>30</v>
      </c>
      <c r="M254" s="58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>
        <v>6280782.7699999996</v>
      </c>
      <c r="Y254" s="52"/>
      <c r="Z254" s="52"/>
      <c r="AA254" s="52"/>
      <c r="AB254" s="6">
        <v>6280782.7699999996</v>
      </c>
      <c r="AC254" s="6"/>
      <c r="AD254" s="6"/>
      <c r="AE254" s="6">
        <f>AB254</f>
        <v>6280782.7699999996</v>
      </c>
      <c r="AF254" s="63"/>
      <c r="AG254" s="58">
        <v>2022</v>
      </c>
      <c r="AH254" s="58">
        <v>2023</v>
      </c>
    </row>
    <row r="255" spans="1:34" ht="84.95" customHeight="1" x14ac:dyDescent="0.35">
      <c r="A255" s="18">
        <v>235</v>
      </c>
      <c r="B255" s="58" t="s">
        <v>27</v>
      </c>
      <c r="C255" s="58" t="s">
        <v>165</v>
      </c>
      <c r="D255" s="58">
        <v>1951</v>
      </c>
      <c r="E255" s="58">
        <v>3</v>
      </c>
      <c r="F255" s="58">
        <v>3</v>
      </c>
      <c r="G255" s="29">
        <v>1914.5</v>
      </c>
      <c r="H255" s="29">
        <v>1905.9</v>
      </c>
      <c r="I255" s="29" t="s">
        <v>32</v>
      </c>
      <c r="J255" s="58" t="s">
        <v>32</v>
      </c>
      <c r="K255" s="11" t="s">
        <v>65</v>
      </c>
      <c r="L255" s="58" t="s">
        <v>30</v>
      </c>
      <c r="M255" s="58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>
        <v>7432827.1299999999</v>
      </c>
      <c r="Y255" s="52"/>
      <c r="Z255" s="52">
        <v>619835.74</v>
      </c>
      <c r="AA255" s="52"/>
      <c r="AB255" s="6">
        <f>SUM(X255+Z255)</f>
        <v>8052662.8700000001</v>
      </c>
      <c r="AC255" s="6"/>
      <c r="AD255" s="6"/>
      <c r="AE255" s="6">
        <f t="shared" ref="AE255:AE256" si="25">AB255</f>
        <v>8052662.8700000001</v>
      </c>
      <c r="AF255" s="63"/>
      <c r="AG255" s="58">
        <v>2022</v>
      </c>
      <c r="AH255" s="58">
        <v>2023</v>
      </c>
    </row>
    <row r="256" spans="1:34" ht="84.95" customHeight="1" x14ac:dyDescent="0.35">
      <c r="A256" s="18">
        <v>236</v>
      </c>
      <c r="B256" s="18" t="s">
        <v>27</v>
      </c>
      <c r="C256" s="18" t="s">
        <v>309</v>
      </c>
      <c r="D256" s="18">
        <v>1966</v>
      </c>
      <c r="E256" s="18">
        <v>5</v>
      </c>
      <c r="F256" s="18">
        <v>2</v>
      </c>
      <c r="G256" s="27">
        <v>2155</v>
      </c>
      <c r="H256" s="27">
        <v>1976</v>
      </c>
      <c r="I256" s="27">
        <v>1643.3</v>
      </c>
      <c r="J256" s="18">
        <v>88</v>
      </c>
      <c r="K256" s="56" t="s">
        <v>29</v>
      </c>
      <c r="L256" s="18" t="s">
        <v>30</v>
      </c>
      <c r="M256" s="18"/>
      <c r="N256" s="6"/>
      <c r="O256" s="6"/>
      <c r="P256" s="6"/>
      <c r="Q256" s="6"/>
      <c r="R256" s="6"/>
      <c r="S256" s="6"/>
      <c r="T256" s="6"/>
      <c r="U256" s="6"/>
      <c r="V256" s="6">
        <v>8432162.1600000001</v>
      </c>
      <c r="W256" s="6"/>
      <c r="X256" s="6"/>
      <c r="Y256" s="6"/>
      <c r="Z256" s="6">
        <v>939358.67</v>
      </c>
      <c r="AA256" s="6"/>
      <c r="AB256" s="6">
        <f>SUM(V256+Z256)</f>
        <v>9371520.8300000001</v>
      </c>
      <c r="AC256" s="6"/>
      <c r="AD256" s="6"/>
      <c r="AE256" s="6">
        <f t="shared" si="25"/>
        <v>9371520.8300000001</v>
      </c>
      <c r="AF256" s="7"/>
      <c r="AG256" s="18">
        <v>2022</v>
      </c>
      <c r="AH256" s="18">
        <v>2023</v>
      </c>
    </row>
    <row r="257" spans="1:35" ht="84.95" customHeight="1" x14ac:dyDescent="0.35">
      <c r="A257" s="18">
        <v>237</v>
      </c>
      <c r="B257" s="58" t="s">
        <v>27</v>
      </c>
      <c r="C257" s="58" t="s">
        <v>226</v>
      </c>
      <c r="D257" s="58">
        <v>1950</v>
      </c>
      <c r="E257" s="58">
        <v>5</v>
      </c>
      <c r="F257" s="58">
        <v>4</v>
      </c>
      <c r="G257" s="29">
        <v>2713.3</v>
      </c>
      <c r="H257" s="29">
        <v>2713.3</v>
      </c>
      <c r="I257" s="29">
        <v>1736.2</v>
      </c>
      <c r="J257" s="58" t="s">
        <v>32</v>
      </c>
      <c r="K257" s="11" t="s">
        <v>29</v>
      </c>
      <c r="L257" s="58" t="s">
        <v>30</v>
      </c>
      <c r="M257" s="58"/>
      <c r="N257" s="52">
        <f>ROUND(H257*332.83*1.015,2)</f>
        <v>916613.65</v>
      </c>
      <c r="O257" s="52">
        <f>ROUND(H257*2235.31*1.015,2)</f>
        <v>6156042.6200000001</v>
      </c>
      <c r="P257" s="52">
        <f>ROUND(H257*430.48*1.015,2)</f>
        <v>1185541.7</v>
      </c>
      <c r="Q257" s="52">
        <f>ROUND(H257*457.67*1.015,2)</f>
        <v>1260422.95</v>
      </c>
      <c r="R257" s="53">
        <f>ROUND(1197448.78*1.015,2)</f>
        <v>1215410.51</v>
      </c>
      <c r="S257" s="52">
        <f>ROUND(H257*467.73*1.015,2)</f>
        <v>1288128.19</v>
      </c>
      <c r="T257" s="52"/>
      <c r="U257" s="52"/>
      <c r="V257" s="52"/>
      <c r="W257" s="52"/>
      <c r="X257" s="52"/>
      <c r="Y257" s="52"/>
      <c r="Z257" s="52">
        <v>679427.78</v>
      </c>
      <c r="AA257" s="52"/>
      <c r="AB257" s="6">
        <f t="shared" si="23"/>
        <v>12701587.399999999</v>
      </c>
      <c r="AC257" s="6"/>
      <c r="AD257" s="6"/>
      <c r="AE257" s="6">
        <f t="shared" si="24"/>
        <v>12701587.399999999</v>
      </c>
      <c r="AF257" s="63"/>
      <c r="AG257" s="58">
        <v>2020</v>
      </c>
      <c r="AH257" s="58">
        <v>2022</v>
      </c>
    </row>
    <row r="258" spans="1:35" ht="84.95" customHeight="1" x14ac:dyDescent="0.35">
      <c r="A258" s="67" t="s">
        <v>227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9"/>
      <c r="N258" s="6">
        <f t="shared" ref="N258:T258" si="26">SUM(N232:N257)</f>
        <v>2640724.62</v>
      </c>
      <c r="O258" s="6">
        <f t="shared" si="26"/>
        <v>46033303.530000001</v>
      </c>
      <c r="P258" s="6">
        <f t="shared" si="26"/>
        <v>9736596.7699999996</v>
      </c>
      <c r="Q258" s="6">
        <f t="shared" si="26"/>
        <v>9993156.1499999985</v>
      </c>
      <c r="R258" s="6">
        <f t="shared" si="26"/>
        <v>2430821.02</v>
      </c>
      <c r="S258" s="6">
        <f t="shared" si="26"/>
        <v>10900232.199999999</v>
      </c>
      <c r="T258" s="6">
        <f t="shared" si="26"/>
        <v>1179961.47</v>
      </c>
      <c r="U258" s="6"/>
      <c r="V258" s="6">
        <f>SUM(V232:V257)</f>
        <v>151581903.69</v>
      </c>
      <c r="W258" s="6">
        <f>SUM(W232:W257)</f>
        <v>12470001.786689999</v>
      </c>
      <c r="X258" s="6">
        <f>SUM(X232:X257)</f>
        <v>77333255.848179996</v>
      </c>
      <c r="Y258" s="6">
        <f>SUM(Y232:Y257)</f>
        <v>12645045.274259999</v>
      </c>
      <c r="Z258" s="6">
        <f>SUM(Z232:Z257)</f>
        <v>12956491.67</v>
      </c>
      <c r="AA258" s="6"/>
      <c r="AB258" s="6">
        <f>SUM(AB232:AB257)</f>
        <v>348686083.51912993</v>
      </c>
      <c r="AC258" s="6"/>
      <c r="AD258" s="6"/>
      <c r="AE258" s="6">
        <f>SUM(AE232:AE257)</f>
        <v>348686083.51912993</v>
      </c>
      <c r="AF258" s="6"/>
      <c r="AG258" s="64"/>
      <c r="AH258" s="64"/>
    </row>
    <row r="259" spans="1:35" s="41" customFormat="1" ht="56.85" customHeight="1" x14ac:dyDescent="1.1000000000000001">
      <c r="A259" s="57" t="s">
        <v>228</v>
      </c>
      <c r="B259" s="57"/>
      <c r="C259" s="57"/>
      <c r="D259" s="57"/>
      <c r="E259" s="57"/>
      <c r="F259" s="57"/>
      <c r="G259" s="36"/>
      <c r="H259" s="57"/>
      <c r="I259" s="36"/>
      <c r="J259" s="57"/>
      <c r="K259" s="37"/>
      <c r="L259" s="38"/>
      <c r="M259" s="57"/>
      <c r="N259" s="39"/>
      <c r="O259" s="39"/>
      <c r="P259" s="39"/>
      <c r="Q259" s="39"/>
      <c r="R259" s="39"/>
      <c r="S259" s="39"/>
      <c r="T259" s="39"/>
      <c r="U259" s="40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57"/>
      <c r="AG259" s="57"/>
      <c r="AH259" s="57"/>
    </row>
    <row r="260" spans="1:35" s="41" customFormat="1" ht="56.85" customHeight="1" x14ac:dyDescent="1.1000000000000001">
      <c r="A260" s="73" t="s">
        <v>296</v>
      </c>
      <c r="B260" s="73"/>
      <c r="C260" s="73"/>
      <c r="D260" s="73"/>
      <c r="E260" s="73"/>
      <c r="F260" s="73"/>
      <c r="G260" s="73"/>
      <c r="H260" s="57"/>
      <c r="I260" s="36"/>
      <c r="K260" s="43"/>
      <c r="L260" s="44"/>
      <c r="N260" s="45"/>
      <c r="O260" s="45"/>
      <c r="P260" s="45"/>
      <c r="Q260" s="45"/>
      <c r="R260" s="45"/>
      <c r="S260" s="45"/>
      <c r="T260" s="45"/>
      <c r="U260" s="46"/>
      <c r="V260" s="45"/>
      <c r="W260" s="45"/>
      <c r="X260" s="45"/>
      <c r="Y260" s="45"/>
      <c r="Z260" s="39"/>
      <c r="AA260" s="39"/>
      <c r="AB260" s="39"/>
      <c r="AC260" s="39"/>
      <c r="AD260" s="39"/>
      <c r="AE260" s="39"/>
      <c r="AF260" s="57"/>
      <c r="AG260" s="57"/>
      <c r="AH260" s="57"/>
    </row>
    <row r="261" spans="1:35" s="41" customFormat="1" ht="56.85" customHeight="1" x14ac:dyDescent="1.1000000000000001">
      <c r="A261" s="57" t="s">
        <v>248</v>
      </c>
      <c r="B261" s="57"/>
      <c r="C261" s="57"/>
      <c r="D261" s="57"/>
      <c r="E261" s="57"/>
      <c r="F261" s="57"/>
      <c r="G261" s="57"/>
      <c r="H261" s="57"/>
      <c r="I261" s="36"/>
      <c r="J261" s="57"/>
      <c r="K261" s="57"/>
      <c r="L261" s="38"/>
      <c r="M261" s="57"/>
      <c r="N261" s="39"/>
      <c r="O261" s="39"/>
      <c r="P261" s="39"/>
      <c r="Q261" s="39"/>
      <c r="R261" s="39"/>
      <c r="S261" s="45"/>
      <c r="T261" s="45"/>
      <c r="U261" s="46"/>
      <c r="V261" s="45"/>
      <c r="W261" s="45"/>
      <c r="X261" s="45"/>
      <c r="Y261" s="45"/>
      <c r="Z261" s="39"/>
      <c r="AA261" s="39"/>
      <c r="AB261" s="39"/>
      <c r="AC261" s="39"/>
      <c r="AD261" s="39"/>
      <c r="AE261" s="39"/>
      <c r="AF261" s="57"/>
      <c r="AG261" s="57"/>
      <c r="AH261" s="57"/>
    </row>
    <row r="262" spans="1:35" s="41" customFormat="1" ht="56.85" customHeight="1" x14ac:dyDescent="1.1000000000000001">
      <c r="A262" s="42" t="s">
        <v>229</v>
      </c>
      <c r="B262" s="42"/>
      <c r="C262" s="42"/>
      <c r="D262" s="42"/>
      <c r="E262" s="42"/>
      <c r="F262" s="42"/>
      <c r="G262" s="42"/>
      <c r="H262" s="42"/>
      <c r="I262" s="36"/>
      <c r="K262" s="43"/>
      <c r="L262" s="44"/>
      <c r="N262" s="45"/>
      <c r="O262" s="45"/>
      <c r="P262" s="45"/>
      <c r="Q262" s="45"/>
      <c r="R262" s="45"/>
      <c r="S262" s="45"/>
      <c r="T262" s="45"/>
      <c r="U262" s="46"/>
      <c r="V262" s="45"/>
      <c r="W262" s="45"/>
      <c r="X262" s="45"/>
      <c r="Y262" s="45"/>
      <c r="Z262" s="39"/>
      <c r="AA262" s="39"/>
      <c r="AB262" s="39"/>
      <c r="AC262" s="39"/>
      <c r="AD262" s="39"/>
      <c r="AE262" s="39"/>
      <c r="AF262" s="57"/>
      <c r="AG262" s="57"/>
      <c r="AH262" s="57"/>
    </row>
    <row r="263" spans="1:35" s="41" customFormat="1" ht="56.85" customHeight="1" x14ac:dyDescent="1.1000000000000001">
      <c r="A263" s="57" t="s">
        <v>230</v>
      </c>
      <c r="B263" s="57"/>
      <c r="C263" s="57"/>
      <c r="D263" s="57"/>
      <c r="E263" s="57"/>
      <c r="F263" s="57"/>
      <c r="G263" s="57"/>
      <c r="H263" s="57"/>
      <c r="I263" s="36"/>
      <c r="J263" s="47"/>
      <c r="K263" s="48"/>
      <c r="L263" s="44"/>
      <c r="M263" s="47"/>
      <c r="N263" s="49"/>
      <c r="O263" s="49"/>
      <c r="P263" s="49"/>
      <c r="Q263" s="49"/>
      <c r="R263" s="49"/>
      <c r="S263" s="49"/>
      <c r="T263" s="49"/>
      <c r="U263" s="46"/>
      <c r="V263" s="45"/>
      <c r="W263" s="45"/>
      <c r="X263" s="45"/>
      <c r="Y263" s="45"/>
      <c r="Z263" s="50"/>
      <c r="AA263" s="50"/>
      <c r="AB263" s="50"/>
      <c r="AC263" s="50"/>
      <c r="AD263" s="50"/>
      <c r="AE263" s="50"/>
      <c r="AF263" s="42"/>
      <c r="AG263" s="42"/>
      <c r="AH263" s="42"/>
    </row>
    <row r="264" spans="1:35" s="41" customFormat="1" ht="56.85" customHeight="1" x14ac:dyDescent="1.1000000000000001">
      <c r="A264" s="42" t="s">
        <v>231</v>
      </c>
      <c r="B264" s="42"/>
      <c r="C264" s="42"/>
      <c r="D264" s="42"/>
      <c r="E264" s="42"/>
      <c r="F264" s="42"/>
      <c r="G264" s="42"/>
      <c r="H264" s="42"/>
      <c r="I264" s="36"/>
      <c r="J264" s="42"/>
      <c r="K264" s="43"/>
      <c r="L264" s="44"/>
      <c r="N264" s="45"/>
      <c r="O264" s="45"/>
      <c r="P264" s="45"/>
      <c r="Q264" s="45"/>
      <c r="R264" s="45"/>
      <c r="S264" s="45"/>
      <c r="T264" s="45"/>
      <c r="U264" s="46"/>
      <c r="V264" s="45"/>
      <c r="W264" s="45"/>
      <c r="X264" s="45"/>
      <c r="Y264" s="45"/>
      <c r="Z264" s="50"/>
      <c r="AA264" s="50"/>
      <c r="AB264" s="50"/>
      <c r="AC264" s="50"/>
      <c r="AD264" s="50"/>
      <c r="AE264" s="50"/>
      <c r="AF264" s="42"/>
      <c r="AG264" s="42"/>
      <c r="AH264" s="42"/>
    </row>
    <row r="265" spans="1:35" s="41" customFormat="1" ht="56.85" customHeight="1" x14ac:dyDescent="1.1000000000000001">
      <c r="A265" s="57" t="s">
        <v>232</v>
      </c>
      <c r="B265" s="57"/>
      <c r="C265" s="57"/>
      <c r="D265" s="57"/>
      <c r="E265" s="57"/>
      <c r="F265" s="57"/>
      <c r="G265" s="57"/>
      <c r="H265" s="57"/>
      <c r="I265" s="36"/>
      <c r="J265" s="47"/>
      <c r="K265" s="48"/>
      <c r="L265" s="44"/>
      <c r="M265" s="47"/>
      <c r="N265" s="49"/>
      <c r="O265" s="49"/>
      <c r="P265" s="49"/>
      <c r="Q265" s="49"/>
      <c r="R265" s="49"/>
      <c r="S265" s="49"/>
      <c r="T265" s="49"/>
      <c r="U265" s="46"/>
      <c r="V265" s="45"/>
      <c r="W265" s="45"/>
      <c r="X265" s="45"/>
      <c r="Y265" s="45"/>
      <c r="Z265" s="50"/>
      <c r="AA265" s="50"/>
      <c r="AB265" s="50"/>
      <c r="AC265" s="50"/>
      <c r="AD265" s="50"/>
      <c r="AE265" s="50"/>
      <c r="AF265" s="42"/>
      <c r="AG265" s="42"/>
      <c r="AH265" s="42"/>
    </row>
    <row r="266" spans="1:35" s="41" customFormat="1" ht="56.85" customHeight="1" x14ac:dyDescent="1.1000000000000001">
      <c r="A266" s="57" t="s">
        <v>291</v>
      </c>
      <c r="B266" s="57"/>
      <c r="C266" s="57"/>
      <c r="D266" s="57"/>
      <c r="E266" s="57"/>
      <c r="F266" s="57"/>
      <c r="G266" s="57"/>
      <c r="H266" s="57"/>
      <c r="I266" s="36"/>
      <c r="J266" s="47"/>
      <c r="K266" s="48"/>
      <c r="L266" s="44"/>
      <c r="M266" s="47"/>
      <c r="N266" s="49"/>
      <c r="O266" s="49"/>
      <c r="P266" s="49"/>
      <c r="Q266" s="49"/>
      <c r="R266" s="49"/>
      <c r="S266" s="49"/>
      <c r="T266" s="49"/>
      <c r="U266" s="46"/>
      <c r="V266" s="45"/>
      <c r="W266" s="45"/>
      <c r="X266" s="45"/>
      <c r="Y266" s="45"/>
      <c r="Z266" s="50"/>
      <c r="AA266" s="50"/>
      <c r="AB266" s="50"/>
      <c r="AC266" s="50"/>
      <c r="AD266" s="50"/>
      <c r="AE266" s="50"/>
      <c r="AF266" s="42"/>
      <c r="AG266" s="42"/>
      <c r="AH266" s="42"/>
    </row>
    <row r="267" spans="1:35" s="42" customFormat="1" ht="56.85" customHeight="1" x14ac:dyDescent="1.05">
      <c r="A267" s="42" t="s">
        <v>292</v>
      </c>
    </row>
    <row r="268" spans="1:35" s="41" customFormat="1" ht="56.85" customHeight="1" x14ac:dyDescent="1.1000000000000001">
      <c r="A268" s="57" t="s">
        <v>233</v>
      </c>
      <c r="B268" s="57"/>
      <c r="C268" s="57"/>
      <c r="D268" s="57"/>
      <c r="E268" s="57"/>
      <c r="F268" s="57"/>
      <c r="G268" s="57"/>
      <c r="H268" s="57"/>
      <c r="I268" s="36"/>
      <c r="J268" s="47"/>
      <c r="K268" s="48"/>
      <c r="L268" s="44"/>
      <c r="M268" s="47"/>
      <c r="N268" s="49"/>
      <c r="O268" s="49"/>
      <c r="P268" s="49"/>
      <c r="Q268" s="49"/>
      <c r="R268" s="49"/>
      <c r="S268" s="49"/>
      <c r="T268" s="49"/>
      <c r="U268" s="46"/>
      <c r="V268" s="45"/>
      <c r="W268" s="45"/>
      <c r="X268" s="45"/>
      <c r="Y268" s="45"/>
      <c r="Z268" s="50"/>
      <c r="AA268" s="50"/>
      <c r="AB268" s="50"/>
      <c r="AC268" s="50"/>
      <c r="AD268" s="50"/>
      <c r="AE268" s="50"/>
      <c r="AF268" s="42"/>
      <c r="AG268" s="42"/>
      <c r="AH268" s="42"/>
    </row>
    <row r="269" spans="1:35" s="41" customFormat="1" ht="56.85" customHeight="1" x14ac:dyDescent="1.1000000000000001">
      <c r="A269" s="57" t="s">
        <v>234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s="41" customFormat="1" ht="56.85" customHeight="1" x14ac:dyDescent="1.1000000000000001">
      <c r="A270" s="57" t="s">
        <v>235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0"/>
      <c r="Q270" s="50"/>
      <c r="R270" s="50"/>
      <c r="S270" s="50"/>
      <c r="T270" s="50"/>
      <c r="U270" s="4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42"/>
      <c r="AG270" s="42"/>
      <c r="AH270" s="42"/>
    </row>
    <row r="271" spans="1:35" s="41" customFormat="1" ht="56.85" customHeight="1" x14ac:dyDescent="1.1000000000000001">
      <c r="A271" s="66" t="s">
        <v>236</v>
      </c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</row>
    <row r="272" spans="1:35" s="41" customFormat="1" ht="56.85" customHeight="1" x14ac:dyDescent="1.1000000000000001">
      <c r="A272" s="66" t="s">
        <v>285</v>
      </c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</row>
    <row r="273" spans="1:37" s="41" customFormat="1" ht="53.25" customHeight="1" x14ac:dyDescent="1.1000000000000001">
      <c r="A273" s="57" t="s">
        <v>237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</row>
    <row r="274" spans="1:37" s="41" customFormat="1" ht="56.85" customHeight="1" x14ac:dyDescent="1.1000000000000001">
      <c r="A274" s="57" t="s">
        <v>238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0"/>
      <c r="Q274" s="50"/>
      <c r="R274" s="50"/>
      <c r="S274" s="50"/>
      <c r="T274" s="50"/>
      <c r="U274" s="4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42"/>
      <c r="AG274" s="42"/>
      <c r="AH274" s="42"/>
      <c r="AJ274" s="57"/>
      <c r="AK274" s="57"/>
    </row>
    <row r="275" spans="1:37" s="41" customFormat="1" ht="56.85" customHeight="1" x14ac:dyDescent="1.1000000000000001">
      <c r="A275" s="66" t="s">
        <v>326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</row>
    <row r="276" spans="1:37" s="41" customFormat="1" ht="56.85" customHeight="1" x14ac:dyDescent="1.1000000000000001">
      <c r="A276" s="66" t="s">
        <v>293</v>
      </c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55"/>
      <c r="AK276" s="55"/>
    </row>
    <row r="277" spans="1:37" s="41" customFormat="1" ht="57.75" customHeight="1" x14ac:dyDescent="1.1000000000000001">
      <c r="A277" s="57" t="s">
        <v>239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0"/>
      <c r="Q277" s="50"/>
      <c r="R277" s="50"/>
      <c r="S277" s="50"/>
      <c r="T277" s="50"/>
      <c r="U277" s="4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42"/>
      <c r="AG277" s="42"/>
      <c r="AH277" s="42"/>
      <c r="AJ277" s="57"/>
      <c r="AK277" s="57"/>
    </row>
    <row r="278" spans="1:37" s="41" customFormat="1" ht="56.85" customHeight="1" x14ac:dyDescent="1.1000000000000001">
      <c r="A278" s="57"/>
      <c r="B278" s="57"/>
      <c r="C278" s="57"/>
      <c r="D278" s="57"/>
      <c r="E278" s="57"/>
      <c r="G278" s="51"/>
      <c r="I278" s="51"/>
      <c r="K278" s="43"/>
      <c r="L278" s="44"/>
      <c r="N278" s="45"/>
      <c r="O278" s="45"/>
      <c r="P278" s="45"/>
      <c r="Q278" s="45"/>
      <c r="R278" s="45"/>
      <c r="S278" s="45"/>
      <c r="T278" s="45"/>
      <c r="U278" s="46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</row>
    <row r="279" spans="1:37" s="41" customFormat="1" ht="56.85" customHeight="1" x14ac:dyDescent="1.1000000000000001">
      <c r="G279" s="51"/>
      <c r="H279" s="44"/>
      <c r="I279" s="51"/>
      <c r="K279" s="43"/>
      <c r="L279" s="44"/>
      <c r="N279" s="45"/>
      <c r="O279" s="45"/>
      <c r="P279" s="45"/>
      <c r="Q279" s="45"/>
      <c r="R279" s="45"/>
      <c r="S279" s="45"/>
      <c r="T279" s="45"/>
      <c r="U279" s="46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spans="1:37" ht="44.25" customHeight="1" x14ac:dyDescent="0.35">
      <c r="I280" s="30"/>
      <c r="J280" s="13"/>
      <c r="K280" s="14"/>
      <c r="L280" s="35"/>
      <c r="M280" s="13"/>
      <c r="N280" s="15"/>
      <c r="O280" s="15"/>
      <c r="P280" s="15"/>
      <c r="Q280" s="15"/>
      <c r="R280" s="15"/>
      <c r="S280" s="15"/>
      <c r="T280" s="15"/>
      <c r="U280" s="19"/>
      <c r="V280" s="15"/>
      <c r="W280" s="15"/>
      <c r="X280" s="15"/>
      <c r="Y280" s="15"/>
      <c r="Z280" s="15"/>
      <c r="AA280" s="15"/>
      <c r="AB280" s="12"/>
      <c r="AC280" s="12"/>
      <c r="AD280" s="12"/>
      <c r="AE280" s="12"/>
      <c r="AF280" s="1"/>
      <c r="AG280" s="1"/>
      <c r="AH280" s="1"/>
    </row>
    <row r="281" spans="1:37" ht="15.75" customHeight="1" x14ac:dyDescent="0.35">
      <c r="J281" s="1"/>
      <c r="M281" s="1"/>
      <c r="N281" s="12"/>
      <c r="O281" s="12"/>
      <c r="P281" s="12"/>
      <c r="Q281" s="12"/>
      <c r="R281" s="12"/>
      <c r="S281" s="12"/>
      <c r="T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"/>
      <c r="AG281" s="1"/>
      <c r="AH281" s="1"/>
    </row>
    <row r="282" spans="1:37" ht="15.75" customHeight="1" x14ac:dyDescent="0.35">
      <c r="R282" s="12"/>
      <c r="S282" s="12"/>
      <c r="T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"/>
      <c r="AG282" s="1"/>
      <c r="AH282" s="1"/>
    </row>
    <row r="283" spans="1:37" ht="13.5" customHeight="1" x14ac:dyDescent="0.35">
      <c r="H283" s="1"/>
      <c r="R283" s="12"/>
      <c r="S283" s="12"/>
      <c r="T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"/>
      <c r="AG283" s="1"/>
      <c r="AH283" s="1"/>
    </row>
    <row r="284" spans="1:37" ht="15.75" hidden="1" customHeight="1" x14ac:dyDescent="0.35">
      <c r="R284" s="12"/>
      <c r="S284" s="12"/>
      <c r="T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"/>
      <c r="AG284" s="1"/>
      <c r="AH284" s="1"/>
    </row>
  </sheetData>
  <autoFilter ref="A11:AI27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7">
    <mergeCell ref="A276:AI276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275:AI275"/>
    <mergeCell ref="AJ275:AK275"/>
    <mergeCell ref="A230:M230"/>
    <mergeCell ref="A231:AH231"/>
    <mergeCell ref="A258:M258"/>
    <mergeCell ref="A272:AI272"/>
    <mergeCell ref="A271:AI271"/>
    <mergeCell ref="A260:G260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786757218.57202077</v>
      </c>
    </row>
    <row r="22" spans="2:2" x14ac:dyDescent="0.2">
      <c r="B22" s="24">
        <f>'17.07_20-22 (2)'!AC166-'17.07_20-22 (2)'!AC149-'17.07_20-22 (2)'!AC121</f>
        <v>289778444.98000008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Стеценко Татьяна Николавена</cp:lastModifiedBy>
  <cp:lastPrinted>2021-04-19T07:25:23Z</cp:lastPrinted>
  <dcterms:created xsi:type="dcterms:W3CDTF">2020-06-04T07:28:04Z</dcterms:created>
  <dcterms:modified xsi:type="dcterms:W3CDTF">2021-04-19T11:26:41Z</dcterms:modified>
</cp:coreProperties>
</file>