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376" windowHeight="9096"/>
  </bookViews>
  <sheets>
    <sheet name="на 16.04 (2)" sheetId="9" r:id="rId1"/>
    <sheet name="на 16.04" sheetId="1" r:id="rId2"/>
    <sheet name="приложение к письму ФКР (цвет)" sheetId="6" r:id="rId3"/>
    <sheet name="нет решОСС 22 изм на 02.03.22" sheetId="7" r:id="rId4"/>
    <sheet name="12.04" sheetId="8" r:id="rId5"/>
    <sheet name="3307" sheetId="2" r:id="rId6"/>
    <sheet name="приложение к письму ФКР" sheetId="3" r:id="rId7"/>
    <sheet name="15.12 (2)" sheetId="4" r:id="rId8"/>
  </sheets>
  <externalReferences>
    <externalReference r:id="rId9"/>
  </externalReferences>
  <definedNames>
    <definedName name="_xlnm._FilterDatabase" localSheetId="4" hidden="1">'12.04'!$A$15:$AO$496</definedName>
    <definedName name="_xlnm._FilterDatabase" localSheetId="7" hidden="1">'15.12 (2)'!$C$1:$C$251</definedName>
    <definedName name="_xlnm._FilterDatabase" localSheetId="1" hidden="1">'на 16.04'!$A$15:$O$780</definedName>
    <definedName name="_xlnm._FilterDatabase" localSheetId="0" hidden="1">'на 16.04 (2)'!$A$15:$O$781</definedName>
    <definedName name="_xlnm._FilterDatabase" localSheetId="3" hidden="1">'нет решОСС 22 изм на 02.03.22'!$A$6:$AM$488</definedName>
    <definedName name="_xlnm._FilterDatabase" localSheetId="6" hidden="1">'приложение к письму ФКР'!$A$9:$AH$180</definedName>
    <definedName name="_xlnm._FilterDatabase" localSheetId="2" hidden="1">'приложение к письму ФКР (цвет)'!$A$9:$AL$199</definedName>
    <definedName name="_xlnm.Print_Titles" localSheetId="4">'12.04'!$15:$15</definedName>
    <definedName name="_xlnm.Print_Titles" localSheetId="7">'15.12 (2)'!$15:$15</definedName>
    <definedName name="_xlnm.Print_Area" localSheetId="4">'12.04'!$A$6:$DJ$520</definedName>
    <definedName name="_xlnm.Print_Area" localSheetId="7">'15.12 (2)'!$A$6:$DJ$250</definedName>
    <definedName name="_xlnm.Print_Area" localSheetId="1">'на 16.04'!$A$1:$O$788</definedName>
    <definedName name="_xlnm.Print_Area" localSheetId="0">'на 16.04 (2)'!$A$1:$O$789</definedName>
    <definedName name="_xlnm.Print_Area" localSheetId="3">'нет решОСС 22 изм на 02.03.22'!$A$6:$DM$494</definedName>
    <definedName name="_xlnm.Print_Area" localSheetId="6">'приложение к письму ФКР'!$A$6:$CI$184</definedName>
    <definedName name="_xlnm.Print_Area" localSheetId="2">'приложение к письму ФКР (цвет)'!$A$6:$CM$203</definedName>
    <definedName name="стены">[1]Справочники!$A$201:$A$223</definedName>
  </definedNames>
  <calcPr calcId="145621"/>
</workbook>
</file>

<file path=xl/calcChain.xml><?xml version="1.0" encoding="utf-8"?>
<calcChain xmlns="http://schemas.openxmlformats.org/spreadsheetml/2006/main">
  <c r="E556" i="9" l="1"/>
  <c r="E464" i="9"/>
  <c r="E459" i="9"/>
  <c r="E456" i="9"/>
  <c r="E454" i="9"/>
  <c r="E451" i="9"/>
  <c r="E447" i="9"/>
  <c r="E444" i="9"/>
  <c r="E440" i="9"/>
  <c r="E436" i="9"/>
  <c r="E432" i="9"/>
  <c r="E429" i="9"/>
  <c r="E400" i="9"/>
  <c r="E397" i="9"/>
  <c r="E216" i="9"/>
  <c r="E210" i="9"/>
  <c r="U224" i="4" l="1"/>
  <c r="AA223" i="4"/>
  <c r="AD223" i="4" s="1"/>
  <c r="AA222" i="4"/>
  <c r="AD222" i="4" s="1"/>
  <c r="AA221" i="4"/>
  <c r="AD221" i="4" s="1"/>
  <c r="AA220" i="4"/>
  <c r="AD220" i="4" s="1"/>
  <c r="AA219" i="4"/>
  <c r="AD219" i="4" s="1"/>
  <c r="AA218" i="4"/>
  <c r="AA217" i="4"/>
  <c r="AA216" i="4"/>
  <c r="AD215" i="4"/>
  <c r="AA215" i="4"/>
  <c r="AD214" i="4"/>
  <c r="AA214" i="4"/>
  <c r="AD213" i="4"/>
  <c r="AA213" i="4"/>
  <c r="AD212" i="4"/>
  <c r="AA212" i="4"/>
  <c r="AD211" i="4"/>
  <c r="AA211" i="4"/>
  <c r="H211" i="4"/>
  <c r="R210" i="4"/>
  <c r="P210" i="4"/>
  <c r="N210" i="4"/>
  <c r="H210" i="4"/>
  <c r="S210" i="4" s="1"/>
  <c r="AD209" i="4"/>
  <c r="AA209" i="4"/>
  <c r="Q208" i="4"/>
  <c r="AA208" i="4" s="1"/>
  <c r="AA207" i="4"/>
  <c r="AB207" i="4" s="1"/>
  <c r="AA206" i="4"/>
  <c r="AA205" i="4"/>
  <c r="AA204" i="4"/>
  <c r="AA203" i="4"/>
  <c r="AA202" i="4"/>
  <c r="AA201" i="4"/>
  <c r="AA200" i="4"/>
  <c r="AA199" i="4"/>
  <c r="AA198" i="4"/>
  <c r="AA197" i="4"/>
  <c r="AA196" i="4"/>
  <c r="AA195" i="4"/>
  <c r="AA194" i="4"/>
  <c r="AA193" i="4"/>
  <c r="AA192" i="4"/>
  <c r="AA191" i="4"/>
  <c r="AA190" i="4"/>
  <c r="AA189" i="4"/>
  <c r="AA188" i="4"/>
  <c r="X187" i="4"/>
  <c r="AA187" i="4" s="1"/>
  <c r="H187" i="4"/>
  <c r="V186" i="4"/>
  <c r="AA186" i="4" s="1"/>
  <c r="H186" i="4"/>
  <c r="AD185" i="4"/>
  <c r="AA185" i="4"/>
  <c r="AD184" i="4"/>
  <c r="AA184" i="4"/>
  <c r="V183" i="4"/>
  <c r="AA183" i="4" s="1"/>
  <c r="H182" i="4"/>
  <c r="V182" i="4" s="1"/>
  <c r="AA181" i="4"/>
  <c r="AB181" i="4" s="1"/>
  <c r="H180" i="4"/>
  <c r="V180" i="4" s="1"/>
  <c r="H179" i="4"/>
  <c r="W179" i="4" s="1"/>
  <c r="AA179" i="4" s="1"/>
  <c r="AD179" i="4" s="1"/>
  <c r="AA178" i="4"/>
  <c r="V178" i="4"/>
  <c r="AD178" i="4" s="1"/>
  <c r="AA177" i="4"/>
  <c r="AA176" i="4"/>
  <c r="AA175" i="4"/>
  <c r="AA174" i="4"/>
  <c r="AA173" i="4"/>
  <c r="AA172" i="4"/>
  <c r="V171" i="4"/>
  <c r="AA171" i="4" s="1"/>
  <c r="AA170" i="4"/>
  <c r="AA169" i="4"/>
  <c r="AA168" i="4"/>
  <c r="AB167" i="4"/>
  <c r="AA167" i="4"/>
  <c r="AA166" i="4"/>
  <c r="AA165" i="4"/>
  <c r="V165" i="4"/>
  <c r="AD165" i="4" s="1"/>
  <c r="V164" i="4"/>
  <c r="S164" i="4"/>
  <c r="Q164" i="4"/>
  <c r="P164" i="4"/>
  <c r="O164" i="4"/>
  <c r="AD164" i="4" s="1"/>
  <c r="N164" i="4"/>
  <c r="AA164" i="4" s="1"/>
  <c r="AA163" i="4"/>
  <c r="AA162" i="4"/>
  <c r="AB162" i="4" s="1"/>
  <c r="AA161" i="4"/>
  <c r="AB161" i="4" s="1"/>
  <c r="AA160" i="4"/>
  <c r="AB160" i="4" s="1"/>
  <c r="AA159" i="4"/>
  <c r="V159" i="4"/>
  <c r="AD159" i="4" s="1"/>
  <c r="V158" i="4"/>
  <c r="AA158" i="4" s="1"/>
  <c r="AD158" i="4" s="1"/>
  <c r="AA157" i="4"/>
  <c r="W157" i="4"/>
  <c r="AD157" i="4" s="1"/>
  <c r="AD156" i="4"/>
  <c r="AA156" i="4"/>
  <c r="AD155" i="4"/>
  <c r="AA155" i="4"/>
  <c r="AD154" i="4"/>
  <c r="AA154" i="4"/>
  <c r="AD153" i="4"/>
  <c r="AA153" i="4"/>
  <c r="V152" i="4"/>
  <c r="AA152" i="4" s="1"/>
  <c r="H152" i="4"/>
  <c r="V151" i="4"/>
  <c r="AA151" i="4" s="1"/>
  <c r="AA150" i="4"/>
  <c r="V150" i="4"/>
  <c r="AD150" i="4" s="1"/>
  <c r="AA149" i="4"/>
  <c r="Z148" i="4"/>
  <c r="Z224" i="4" s="1"/>
  <c r="H148" i="4"/>
  <c r="X148" i="4" s="1"/>
  <c r="H147" i="4"/>
  <c r="Y147" i="4" s="1"/>
  <c r="AA146" i="4"/>
  <c r="V146" i="4"/>
  <c r="AD146" i="4" s="1"/>
  <c r="V145" i="4"/>
  <c r="AA145" i="4" s="1"/>
  <c r="AA144" i="4"/>
  <c r="V144" i="4"/>
  <c r="AD144" i="4" s="1"/>
  <c r="O143" i="4"/>
  <c r="AA143" i="4" s="1"/>
  <c r="AA142" i="4"/>
  <c r="V142" i="4"/>
  <c r="AD142" i="4" s="1"/>
  <c r="AD141" i="4"/>
  <c r="AA141" i="4"/>
  <c r="AD140" i="4"/>
  <c r="AA140" i="4"/>
  <c r="AD139" i="4"/>
  <c r="AA139" i="4"/>
  <c r="AA138" i="4"/>
  <c r="AA137" i="4"/>
  <c r="AB137" i="4" s="1"/>
  <c r="AA136" i="4"/>
  <c r="AB136" i="4" s="1"/>
  <c r="H135" i="4"/>
  <c r="S135" i="4" s="1"/>
  <c r="AA134" i="4"/>
  <c r="V134" i="4"/>
  <c r="AD134" i="4" s="1"/>
  <c r="AD133" i="4"/>
  <c r="AA133" i="4"/>
  <c r="AD132" i="4"/>
  <c r="AA132" i="4"/>
  <c r="AD131" i="4"/>
  <c r="AA131" i="4"/>
  <c r="V130" i="4"/>
  <c r="AA130" i="4" s="1"/>
  <c r="H129" i="4"/>
  <c r="N129" i="4" s="1"/>
  <c r="AA129" i="4" s="1"/>
  <c r="AB129" i="4" s="1"/>
  <c r="AA128" i="4"/>
  <c r="AD128" i="4" s="1"/>
  <c r="AA127" i="4"/>
  <c r="AD127" i="4" s="1"/>
  <c r="AA126" i="4"/>
  <c r="AD126" i="4" s="1"/>
  <c r="AA125" i="4"/>
  <c r="AD125" i="4" s="1"/>
  <c r="AA124" i="4"/>
  <c r="AD124" i="4" s="1"/>
  <c r="AA123" i="4"/>
  <c r="AD123" i="4" s="1"/>
  <c r="AA122" i="4"/>
  <c r="AD122" i="4" s="1"/>
  <c r="AA121" i="4"/>
  <c r="AD121" i="4" s="1"/>
  <c r="AA120" i="4"/>
  <c r="AD120" i="4" s="1"/>
  <c r="AA119" i="4"/>
  <c r="AD119" i="4" s="1"/>
  <c r="AA118" i="4"/>
  <c r="AD118" i="4" s="1"/>
  <c r="AA117" i="4"/>
  <c r="AD117" i="4" s="1"/>
  <c r="AA116" i="4"/>
  <c r="AD116" i="4" s="1"/>
  <c r="AA115" i="4"/>
  <c r="AD115" i="4" s="1"/>
  <c r="AA114" i="4"/>
  <c r="AD114" i="4" s="1"/>
  <c r="H113" i="4"/>
  <c r="T113" i="4" s="1"/>
  <c r="R112" i="4"/>
  <c r="R224" i="4" s="1"/>
  <c r="H112" i="4"/>
  <c r="S112" i="4" s="1"/>
  <c r="AA111" i="4"/>
  <c r="AA110" i="4"/>
  <c r="AA109" i="4"/>
  <c r="AD108" i="4"/>
  <c r="AA108" i="4"/>
  <c r="AD107" i="4"/>
  <c r="AA107" i="4"/>
  <c r="AD106" i="4"/>
  <c r="AA106" i="4"/>
  <c r="AD105" i="4"/>
  <c r="AA105" i="4"/>
  <c r="AD104" i="4"/>
  <c r="AA104" i="4"/>
  <c r="AD103" i="4"/>
  <c r="AA103" i="4"/>
  <c r="AD102" i="4"/>
  <c r="AA102" i="4"/>
  <c r="AD101" i="4"/>
  <c r="AA101" i="4"/>
  <c r="AD100" i="4"/>
  <c r="AA100" i="4"/>
  <c r="AD99" i="4"/>
  <c r="AA99" i="4"/>
  <c r="AD98" i="4"/>
  <c r="AA98" i="4"/>
  <c r="AD97" i="4"/>
  <c r="AA97" i="4"/>
  <c r="AD96" i="4"/>
  <c r="AA96" i="4"/>
  <c r="AD95" i="4"/>
  <c r="AA95" i="4"/>
  <c r="AD94" i="4"/>
  <c r="V94" i="4"/>
  <c r="AA94" i="4" s="1"/>
  <c r="AA93" i="4"/>
  <c r="V93" i="4"/>
  <c r="AD93" i="4" s="1"/>
  <c r="AB92" i="4"/>
  <c r="AA92" i="4"/>
  <c r="AB91" i="4"/>
  <c r="AA91" i="4"/>
  <c r="AA90" i="4"/>
  <c r="AA89" i="4"/>
  <c r="AA88" i="4"/>
  <c r="AA87" i="4"/>
  <c r="AA86" i="4"/>
  <c r="AA85" i="4"/>
  <c r="AA84" i="4"/>
  <c r="AA83" i="4"/>
  <c r="AA82" i="4"/>
  <c r="AA81" i="4"/>
  <c r="AB80" i="4"/>
  <c r="AA80" i="4"/>
  <c r="AA79" i="4"/>
  <c r="AA78" i="4"/>
  <c r="AD77" i="4"/>
  <c r="AA77" i="4"/>
  <c r="AD76" i="4"/>
  <c r="AA76" i="4"/>
  <c r="H75" i="4"/>
  <c r="X75" i="4" s="1"/>
  <c r="AA74" i="4"/>
  <c r="AD74" i="4" s="1"/>
  <c r="AA73" i="4"/>
  <c r="AA72" i="4"/>
  <c r="AA71" i="4"/>
  <c r="AA70" i="4"/>
  <c r="AA69" i="4"/>
  <c r="AA68" i="4"/>
  <c r="AA67" i="4"/>
  <c r="AD66" i="4"/>
  <c r="AA66" i="4"/>
  <c r="AA65" i="4"/>
  <c r="AA64" i="4"/>
  <c r="AA63" i="4"/>
  <c r="AA62" i="4"/>
  <c r="AA61" i="4"/>
  <c r="AA60" i="4"/>
  <c r="AA59" i="4"/>
  <c r="AA58" i="4"/>
  <c r="AA57" i="4"/>
  <c r="AA56" i="4"/>
  <c r="AA55" i="4"/>
  <c r="V55" i="4"/>
  <c r="AB54" i="4"/>
  <c r="AA54" i="4"/>
  <c r="AB53" i="4"/>
  <c r="AA53" i="4"/>
  <c r="AB52" i="4"/>
  <c r="AA52" i="4"/>
  <c r="AB51" i="4"/>
  <c r="AA51" i="4"/>
  <c r="AB50" i="4"/>
  <c r="AA50" i="4"/>
  <c r="AB49" i="4"/>
  <c r="AA49" i="4"/>
  <c r="V48" i="4"/>
  <c r="AD48" i="4" s="1"/>
  <c r="AA47" i="4"/>
  <c r="AB47" i="4" s="1"/>
  <c r="AD46" i="4"/>
  <c r="AA46" i="4"/>
  <c r="AA45" i="4"/>
  <c r="V45" i="4"/>
  <c r="AD45" i="4" s="1"/>
  <c r="AB44" i="4"/>
  <c r="AA44" i="4"/>
  <c r="AB43" i="4"/>
  <c r="AA43" i="4"/>
  <c r="AB42" i="4"/>
  <c r="AA42" i="4"/>
  <c r="AB41" i="4"/>
  <c r="AA41" i="4"/>
  <c r="AB40" i="4"/>
  <c r="AA40" i="4"/>
  <c r="AB39" i="4"/>
  <c r="AA39" i="4"/>
  <c r="AB38" i="4"/>
  <c r="AA38" i="4"/>
  <c r="AB37" i="4"/>
  <c r="AA37" i="4"/>
  <c r="AB36" i="4"/>
  <c r="AA36" i="4"/>
  <c r="AB35" i="4"/>
  <c r="AA35" i="4"/>
  <c r="AB34" i="4"/>
  <c r="AA34" i="4"/>
  <c r="AB33" i="4"/>
  <c r="AA33" i="4"/>
  <c r="AB32" i="4"/>
  <c r="AA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A23" i="4"/>
  <c r="X22" i="4"/>
  <c r="V22" i="4"/>
  <c r="S22" i="4"/>
  <c r="Q22" i="4"/>
  <c r="P22" i="4"/>
  <c r="O22" i="4"/>
  <c r="N22" i="4"/>
  <c r="V21" i="4"/>
  <c r="AA21" i="4" s="1"/>
  <c r="H21" i="4"/>
  <c r="AA20" i="4"/>
  <c r="AA19" i="4"/>
  <c r="AD19" i="4" s="1"/>
  <c r="AA18" i="4"/>
  <c r="AD18" i="4" s="1"/>
  <c r="AA17" i="4"/>
  <c r="AD17" i="4" s="1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U496" i="8"/>
  <c r="AA495" i="8"/>
  <c r="AD495" i="8" s="1"/>
  <c r="AA494" i="8"/>
  <c r="AD494" i="8" s="1"/>
  <c r="AA493" i="8"/>
  <c r="AD493" i="8" s="1"/>
  <c r="AA492" i="8"/>
  <c r="AD492" i="8" s="1"/>
  <c r="AA491" i="8"/>
  <c r="AD491" i="8" s="1"/>
  <c r="AA490" i="8"/>
  <c r="AD490" i="8" s="1"/>
  <c r="AA489" i="8"/>
  <c r="AA488" i="8"/>
  <c r="AA487" i="8"/>
  <c r="AD486" i="8"/>
  <c r="AA486" i="8"/>
  <c r="H486" i="8"/>
  <c r="R485" i="8"/>
  <c r="H485" i="8"/>
  <c r="S485" i="8" s="1"/>
  <c r="AA484" i="8"/>
  <c r="AD484" i="8" s="1"/>
  <c r="AA483" i="8"/>
  <c r="Q483" i="8"/>
  <c r="AD483" i="8" s="1"/>
  <c r="AA482" i="8"/>
  <c r="AB482" i="8" s="1"/>
  <c r="AA481" i="8"/>
  <c r="AA480" i="8"/>
  <c r="AA479" i="8"/>
  <c r="AA478" i="8"/>
  <c r="AA477" i="8"/>
  <c r="AA476" i="8"/>
  <c r="AA475" i="8"/>
  <c r="AA474" i="8"/>
  <c r="AA473" i="8"/>
  <c r="AA472" i="8"/>
  <c r="AB472" i="8" s="1"/>
  <c r="AA471" i="8"/>
  <c r="AA470" i="8"/>
  <c r="AB470" i="8" s="1"/>
  <c r="AA469" i="8"/>
  <c r="AA468" i="8"/>
  <c r="AA467" i="8"/>
  <c r="AA466" i="8"/>
  <c r="AB466" i="8" s="1"/>
  <c r="AA465" i="8"/>
  <c r="AA464" i="8"/>
  <c r="AA463" i="8"/>
  <c r="AB463" i="8" s="1"/>
  <c r="AA462" i="8"/>
  <c r="AB462" i="8" s="1"/>
  <c r="AA461" i="8"/>
  <c r="AB461" i="8" s="1"/>
  <c r="H460" i="8"/>
  <c r="X460" i="8" s="1"/>
  <c r="H459" i="8"/>
  <c r="V459" i="8" s="1"/>
  <c r="AA458" i="8"/>
  <c r="AD458" i="8" s="1"/>
  <c r="AA457" i="8"/>
  <c r="AD457" i="8" s="1"/>
  <c r="V456" i="8"/>
  <c r="AD456" i="8" s="1"/>
  <c r="V455" i="8"/>
  <c r="AD455" i="8" s="1"/>
  <c r="H455" i="8"/>
  <c r="AA454" i="8"/>
  <c r="AB454" i="8" s="1"/>
  <c r="V453" i="8"/>
  <c r="AD453" i="8" s="1"/>
  <c r="H453" i="8"/>
  <c r="W452" i="8"/>
  <c r="AA452" i="8" s="1"/>
  <c r="AD452" i="8" s="1"/>
  <c r="H452" i="8"/>
  <c r="V451" i="8"/>
  <c r="AD451" i="8" s="1"/>
  <c r="AA450" i="8"/>
  <c r="AD449" i="8"/>
  <c r="AB449" i="8"/>
  <c r="AA449" i="8"/>
  <c r="AA448" i="8"/>
  <c r="AA447" i="8"/>
  <c r="AA446" i="8"/>
  <c r="AA445" i="8"/>
  <c r="V444" i="8"/>
  <c r="AD444" i="8" s="1"/>
  <c r="AA443" i="8"/>
  <c r="AA442" i="8"/>
  <c r="AA441" i="8"/>
  <c r="AA440" i="8"/>
  <c r="AB440" i="8" s="1"/>
  <c r="AA439" i="8"/>
  <c r="V438" i="8"/>
  <c r="AD438" i="8" s="1"/>
  <c r="V437" i="8"/>
  <c r="S437" i="8"/>
  <c r="Q437" i="8"/>
  <c r="P437" i="8"/>
  <c r="O437" i="8"/>
  <c r="N437" i="8"/>
  <c r="AA436" i="8"/>
  <c r="AA435" i="8"/>
  <c r="AB435" i="8" s="1"/>
  <c r="AA434" i="8"/>
  <c r="AB434" i="8" s="1"/>
  <c r="AB433" i="8"/>
  <c r="AA433" i="8"/>
  <c r="V432" i="8"/>
  <c r="AD432" i="8" s="1"/>
  <c r="AA431" i="8"/>
  <c r="V430" i="8"/>
  <c r="AA430" i="8" s="1"/>
  <c r="AD430" i="8" s="1"/>
  <c r="W429" i="8"/>
  <c r="AD429" i="8" s="1"/>
  <c r="AA428" i="8"/>
  <c r="AD428" i="8" s="1"/>
  <c r="AA427" i="8"/>
  <c r="AD427" i="8" s="1"/>
  <c r="AA426" i="8"/>
  <c r="AD426" i="8" s="1"/>
  <c r="AD425" i="8"/>
  <c r="AA425" i="8"/>
  <c r="V424" i="8"/>
  <c r="AD424" i="8" s="1"/>
  <c r="H424" i="8"/>
  <c r="V423" i="8"/>
  <c r="AD423" i="8" s="1"/>
  <c r="V422" i="8"/>
  <c r="AD422" i="8" s="1"/>
  <c r="AA421" i="8"/>
  <c r="Z420" i="8"/>
  <c r="Z496" i="8" s="1"/>
  <c r="H420" i="8"/>
  <c r="Y420" i="8" s="1"/>
  <c r="H419" i="8"/>
  <c r="X419" i="8" s="1"/>
  <c r="V418" i="8"/>
  <c r="AD418" i="8" s="1"/>
  <c r="V417" i="8"/>
  <c r="AD417" i="8" s="1"/>
  <c r="V416" i="8"/>
  <c r="AD416" i="8" s="1"/>
  <c r="O415" i="8"/>
  <c r="AD415" i="8" s="1"/>
  <c r="V414" i="8"/>
  <c r="AD414" i="8" s="1"/>
  <c r="AA413" i="8"/>
  <c r="AD413" i="8" s="1"/>
  <c r="AA412" i="8"/>
  <c r="AD412" i="8" s="1"/>
  <c r="AA411" i="8"/>
  <c r="AD411" i="8" s="1"/>
  <c r="AA410" i="8"/>
  <c r="AA409" i="8"/>
  <c r="AB409" i="8" s="1"/>
  <c r="AA408" i="8"/>
  <c r="AB408" i="8" s="1"/>
  <c r="AA407" i="8"/>
  <c r="AB407" i="8" s="1"/>
  <c r="AA406" i="8"/>
  <c r="AB406" i="8" s="1"/>
  <c r="AA405" i="8"/>
  <c r="AB405" i="8" s="1"/>
  <c r="AB404" i="8"/>
  <c r="AA404" i="8"/>
  <c r="AB403" i="8"/>
  <c r="AA403" i="8"/>
  <c r="H403" i="8"/>
  <c r="AB402" i="8"/>
  <c r="AA402" i="8"/>
  <c r="AB401" i="8"/>
  <c r="AA401" i="8"/>
  <c r="AB400" i="8"/>
  <c r="AA400" i="8"/>
  <c r="AB399" i="8"/>
  <c r="AA399" i="8"/>
  <c r="AB398" i="8"/>
  <c r="AA398" i="8"/>
  <c r="AB397" i="8"/>
  <c r="AA397" i="8"/>
  <c r="AB396" i="8"/>
  <c r="AA396" i="8"/>
  <c r="AB395" i="8"/>
  <c r="AA395" i="8"/>
  <c r="S394" i="8"/>
  <c r="P394" i="8"/>
  <c r="N394" i="8"/>
  <c r="H394" i="8"/>
  <c r="Q394" i="8" s="1"/>
  <c r="V393" i="8"/>
  <c r="AD393" i="8" s="1"/>
  <c r="AA392" i="8"/>
  <c r="AD392" i="8" s="1"/>
  <c r="AA391" i="8"/>
  <c r="AD391" i="8" s="1"/>
  <c r="AA390" i="8"/>
  <c r="AD390" i="8" s="1"/>
  <c r="V389" i="8"/>
  <c r="AD389" i="8" s="1"/>
  <c r="N388" i="8"/>
  <c r="AA388" i="8" s="1"/>
  <c r="AB388" i="8" s="1"/>
  <c r="H388" i="8"/>
  <c r="AA387" i="8"/>
  <c r="AD387" i="8" s="1"/>
  <c r="AA386" i="8"/>
  <c r="AD386" i="8" s="1"/>
  <c r="AA385" i="8"/>
  <c r="AD385" i="8" s="1"/>
  <c r="AA384" i="8"/>
  <c r="AD384" i="8" s="1"/>
  <c r="AA383" i="8"/>
  <c r="AD383" i="8" s="1"/>
  <c r="AA382" i="8"/>
  <c r="AD382" i="8" s="1"/>
  <c r="AA381" i="8"/>
  <c r="AD381" i="8" s="1"/>
  <c r="AA380" i="8"/>
  <c r="AD380" i="8" s="1"/>
  <c r="AA379" i="8"/>
  <c r="AD379" i="8" s="1"/>
  <c r="AA378" i="8"/>
  <c r="AD378" i="8" s="1"/>
  <c r="AA377" i="8"/>
  <c r="AD377" i="8" s="1"/>
  <c r="AA376" i="8"/>
  <c r="AD376" i="8" s="1"/>
  <c r="AA375" i="8"/>
  <c r="AD375" i="8" s="1"/>
  <c r="AA374" i="8"/>
  <c r="AD374" i="8" s="1"/>
  <c r="AA373" i="8"/>
  <c r="AD373" i="8" s="1"/>
  <c r="T372" i="8"/>
  <c r="AD372" i="8" s="1"/>
  <c r="H372" i="8"/>
  <c r="S371" i="8"/>
  <c r="R371" i="8"/>
  <c r="R496" i="8" s="1"/>
  <c r="Q371" i="8"/>
  <c r="O371" i="8"/>
  <c r="H371" i="8"/>
  <c r="P371" i="8" s="1"/>
  <c r="AA370" i="8"/>
  <c r="AA369" i="8"/>
  <c r="AA368" i="8"/>
  <c r="AA367" i="8"/>
  <c r="AD367" i="8" s="1"/>
  <c r="AA366" i="8"/>
  <c r="AD366" i="8" s="1"/>
  <c r="AA365" i="8"/>
  <c r="AD365" i="8" s="1"/>
  <c r="AA364" i="8"/>
  <c r="AD364" i="8" s="1"/>
  <c r="AA363" i="8"/>
  <c r="AD363" i="8" s="1"/>
  <c r="AA362" i="8"/>
  <c r="AD362" i="8" s="1"/>
  <c r="AA361" i="8"/>
  <c r="AD361" i="8" s="1"/>
  <c r="AA360" i="8"/>
  <c r="AD360" i="8" s="1"/>
  <c r="AA359" i="8"/>
  <c r="AD359" i="8" s="1"/>
  <c r="AA358" i="8"/>
  <c r="AD358" i="8" s="1"/>
  <c r="AA357" i="8"/>
  <c r="AD357" i="8" s="1"/>
  <c r="AA356" i="8"/>
  <c r="AD356" i="8" s="1"/>
  <c r="AA355" i="8"/>
  <c r="AD355" i="8" s="1"/>
  <c r="AA354" i="8"/>
  <c r="AD354" i="8" s="1"/>
  <c r="V353" i="8"/>
  <c r="AD353" i="8" s="1"/>
  <c r="V352" i="8"/>
  <c r="AA352" i="8" s="1"/>
  <c r="AA351" i="8"/>
  <c r="AB351" i="8" s="1"/>
  <c r="AA350" i="8"/>
  <c r="AB350" i="8" s="1"/>
  <c r="AA349" i="8"/>
  <c r="AA348" i="8"/>
  <c r="AA347" i="8"/>
  <c r="AA346" i="8"/>
  <c r="AA345" i="8"/>
  <c r="AA344" i="8"/>
  <c r="AA343" i="8"/>
  <c r="AA342" i="8"/>
  <c r="AA341" i="8"/>
  <c r="AA340" i="8"/>
  <c r="AA339" i="8"/>
  <c r="AB339" i="8" s="1"/>
  <c r="AA338" i="8"/>
  <c r="AA337" i="8"/>
  <c r="AA336" i="8"/>
  <c r="AD336" i="8" s="1"/>
  <c r="AA335" i="8"/>
  <c r="AD335" i="8" s="1"/>
  <c r="V330" i="8"/>
  <c r="O330" i="8"/>
  <c r="H330" i="8"/>
  <c r="X330" i="8" s="1"/>
  <c r="AA329" i="8"/>
  <c r="AB329" i="8" s="1"/>
  <c r="AA328" i="8"/>
  <c r="AB328" i="8" s="1"/>
  <c r="AA327" i="8"/>
  <c r="AA326" i="8"/>
  <c r="AA325" i="8"/>
  <c r="AA324" i="8"/>
  <c r="AA323" i="8"/>
  <c r="AA322" i="8"/>
  <c r="AA321" i="8"/>
  <c r="AA320" i="8"/>
  <c r="AD320" i="8" s="1"/>
  <c r="AA319" i="8"/>
  <c r="AA318" i="8"/>
  <c r="AA317" i="8"/>
  <c r="AA316" i="8"/>
  <c r="AA315" i="8"/>
  <c r="AA314" i="8"/>
  <c r="AA313" i="8"/>
  <c r="AA312" i="8"/>
  <c r="AA311" i="8"/>
  <c r="AA310" i="8"/>
  <c r="V309" i="8"/>
  <c r="AA309" i="8" s="1"/>
  <c r="AA308" i="8"/>
  <c r="AB308" i="8" s="1"/>
  <c r="AA307" i="8"/>
  <c r="AB307" i="8" s="1"/>
  <c r="AA306" i="8"/>
  <c r="AB306" i="8" s="1"/>
  <c r="AA305" i="8"/>
  <c r="AB305" i="8" s="1"/>
  <c r="AA304" i="8"/>
  <c r="AB304" i="8" s="1"/>
  <c r="AA303" i="8"/>
  <c r="AB303" i="8" s="1"/>
  <c r="V302" i="8"/>
  <c r="AD302" i="8" s="1"/>
  <c r="AA301" i="8"/>
  <c r="AB301" i="8" s="1"/>
  <c r="X300" i="8"/>
  <c r="V300" i="8"/>
  <c r="AD299" i="8"/>
  <c r="AA299" i="8"/>
  <c r="V298" i="8"/>
  <c r="AA298" i="8" s="1"/>
  <c r="AA297" i="8"/>
  <c r="AB297" i="8" s="1"/>
  <c r="AA296" i="8"/>
  <c r="AB296" i="8" s="1"/>
  <c r="AA295" i="8"/>
  <c r="AB295" i="8" s="1"/>
  <c r="AA294" i="8"/>
  <c r="AB294" i="8" s="1"/>
  <c r="AA293" i="8"/>
  <c r="AB293" i="8" s="1"/>
  <c r="AA292" i="8"/>
  <c r="AB292" i="8" s="1"/>
  <c r="AA291" i="8"/>
  <c r="AB291" i="8" s="1"/>
  <c r="AA290" i="8"/>
  <c r="AB290" i="8" s="1"/>
  <c r="AA289" i="8"/>
  <c r="AB289" i="8" s="1"/>
  <c r="AA288" i="8"/>
  <c r="AB288" i="8" s="1"/>
  <c r="AA287" i="8"/>
  <c r="AB287" i="8" s="1"/>
  <c r="AA286" i="8"/>
  <c r="AB286" i="8" s="1"/>
  <c r="AA285" i="8"/>
  <c r="AB285" i="8" s="1"/>
  <c r="AA284" i="8"/>
  <c r="AB284" i="8" s="1"/>
  <c r="AA283" i="8"/>
  <c r="AB283" i="8" s="1"/>
  <c r="AA282" i="8"/>
  <c r="AB282" i="8" s="1"/>
  <c r="AA281" i="8"/>
  <c r="AB281" i="8" s="1"/>
  <c r="AA280" i="8"/>
  <c r="AB280" i="8" s="1"/>
  <c r="AA279" i="8"/>
  <c r="AB279" i="8" s="1"/>
  <c r="AA278" i="8"/>
  <c r="AB278" i="8" s="1"/>
  <c r="AA277" i="8"/>
  <c r="AB277" i="8" s="1"/>
  <c r="AA276" i="8"/>
  <c r="X275" i="8"/>
  <c r="V275" i="8"/>
  <c r="S275" i="8"/>
  <c r="Q275" i="8"/>
  <c r="P275" i="8"/>
  <c r="O275" i="8"/>
  <c r="N275" i="8"/>
  <c r="H274" i="8"/>
  <c r="V274" i="8" s="1"/>
  <c r="AA273" i="8"/>
  <c r="AA272" i="8"/>
  <c r="AD272" i="8" s="1"/>
  <c r="AA271" i="8"/>
  <c r="AD271" i="8" s="1"/>
  <c r="AA270" i="8"/>
  <c r="AD270" i="8" s="1"/>
  <c r="Z268" i="8"/>
  <c r="Y268" i="8"/>
  <c r="X268" i="8"/>
  <c r="V268" i="8"/>
  <c r="U268" i="8"/>
  <c r="T268" i="8"/>
  <c r="AB267" i="8"/>
  <c r="AA267" i="8"/>
  <c r="AB266" i="8"/>
  <c r="AA266" i="8"/>
  <c r="AD264" i="8"/>
  <c r="AA264" i="8"/>
  <c r="AA259" i="8"/>
  <c r="AD259" i="8" s="1"/>
  <c r="AA258" i="8"/>
  <c r="AD258" i="8" s="1"/>
  <c r="AB256" i="8"/>
  <c r="AA256" i="8"/>
  <c r="AA254" i="8"/>
  <c r="AD254" i="8" s="1"/>
  <c r="AA253" i="8"/>
  <c r="AD253" i="8" s="1"/>
  <c r="AA252" i="8"/>
  <c r="AD252" i="8" s="1"/>
  <c r="AA251" i="8"/>
  <c r="AA250" i="8"/>
  <c r="AA249" i="8"/>
  <c r="AB248" i="8"/>
  <c r="AA248" i="8"/>
  <c r="AA247" i="8"/>
  <c r="AA245" i="8"/>
  <c r="AD245" i="8" s="1"/>
  <c r="AB244" i="8"/>
  <c r="AA244" i="8"/>
  <c r="AD243" i="8"/>
  <c r="AA243" i="8"/>
  <c r="AA242" i="8"/>
  <c r="AD242" i="8" s="1"/>
  <c r="AA241" i="8"/>
  <c r="AB241" i="8" s="1"/>
  <c r="R241" i="8"/>
  <c r="H241" i="8"/>
  <c r="AA240" i="8"/>
  <c r="AB240" i="8" s="1"/>
  <c r="R240" i="8"/>
  <c r="H240" i="8"/>
  <c r="AD239" i="8"/>
  <c r="AA239" i="8"/>
  <c r="AD238" i="8"/>
  <c r="AA238" i="8"/>
  <c r="AA237" i="8"/>
  <c r="AB237" i="8" s="1"/>
  <c r="R237" i="8"/>
  <c r="H237" i="8"/>
  <c r="AA235" i="8"/>
  <c r="AD235" i="8" s="1"/>
  <c r="AA234" i="8"/>
  <c r="AD234" i="8" s="1"/>
  <c r="AA233" i="8"/>
  <c r="AD233" i="8" s="1"/>
  <c r="AD232" i="8"/>
  <c r="AD231" i="8"/>
  <c r="AA231" i="8"/>
  <c r="AB230" i="8"/>
  <c r="AA230" i="8"/>
  <c r="AD230" i="8" s="1"/>
  <c r="AA229" i="8"/>
  <c r="AB229" i="8" s="1"/>
  <c r="AA228" i="8"/>
  <c r="AB228" i="8" s="1"/>
  <c r="AA227" i="8"/>
  <c r="AA226" i="8"/>
  <c r="AD226" i="8" s="1"/>
  <c r="AA225" i="8"/>
  <c r="S224" i="8"/>
  <c r="Q224" i="8"/>
  <c r="P224" i="8"/>
  <c r="O224" i="8"/>
  <c r="N224" i="8"/>
  <c r="S223" i="8"/>
  <c r="S268" i="8" s="1"/>
  <c r="R223" i="8"/>
  <c r="Q223" i="8"/>
  <c r="Q268" i="8" s="1"/>
  <c r="P223" i="8"/>
  <c r="P268" i="8" s="1"/>
  <c r="O223" i="8"/>
  <c r="AD223" i="8" s="1"/>
  <c r="N223" i="8"/>
  <c r="N268" i="8" s="1"/>
  <c r="AB221" i="8"/>
  <c r="AA221" i="8"/>
  <c r="AA220" i="8"/>
  <c r="AA218" i="8"/>
  <c r="R217" i="8"/>
  <c r="AA217" i="8" s="1"/>
  <c r="AB217" i="8" s="1"/>
  <c r="H217" i="8"/>
  <c r="AA216" i="8"/>
  <c r="AB215" i="8"/>
  <c r="AA215" i="8"/>
  <c r="AD214" i="8"/>
  <c r="AA214" i="8"/>
  <c r="AD213" i="8"/>
  <c r="AA213" i="8"/>
  <c r="AD212" i="8"/>
  <c r="AA212" i="8"/>
  <c r="AB211" i="8"/>
  <c r="AA211" i="8"/>
  <c r="AB210" i="8"/>
  <c r="AA210" i="8"/>
  <c r="AD209" i="8"/>
  <c r="AA209" i="8"/>
  <c r="AD208" i="8"/>
  <c r="AA208" i="8"/>
  <c r="AA207" i="8"/>
  <c r="AD207" i="8" s="1"/>
  <c r="AA206" i="8"/>
  <c r="AB206" i="8" s="1"/>
  <c r="R206" i="8"/>
  <c r="H206" i="8"/>
  <c r="AD205" i="8"/>
  <c r="AA205" i="8"/>
  <c r="AD204" i="8"/>
  <c r="AA204" i="8"/>
  <c r="AA203" i="8"/>
  <c r="AA202" i="8"/>
  <c r="AD201" i="8"/>
  <c r="AA201" i="8"/>
  <c r="AA199" i="8"/>
  <c r="AD199" i="8" s="1"/>
  <c r="AA192" i="8"/>
  <c r="AB192" i="8" s="1"/>
  <c r="AB268" i="8" s="1"/>
  <c r="R192" i="8"/>
  <c r="R268" i="8" s="1"/>
  <c r="AD191" i="8"/>
  <c r="AA191" i="8"/>
  <c r="AD190" i="8"/>
  <c r="AA190" i="8"/>
  <c r="AA189" i="8"/>
  <c r="AD189" i="8" s="1"/>
  <c r="AD188" i="8"/>
  <c r="AA188" i="8"/>
  <c r="AD187" i="8"/>
  <c r="AA187" i="8"/>
  <c r="AD180" i="8"/>
  <c r="AA180" i="8"/>
  <c r="AD179" i="8"/>
  <c r="AA179" i="8"/>
  <c r="Z165" i="8"/>
  <c r="Y165" i="8"/>
  <c r="X165" i="8"/>
  <c r="W165" i="8"/>
  <c r="V165" i="8"/>
  <c r="U165" i="8"/>
  <c r="S165" i="8"/>
  <c r="R165" i="8"/>
  <c r="Q165" i="8"/>
  <c r="P165" i="8"/>
  <c r="O165" i="8"/>
  <c r="N165" i="8"/>
  <c r="AA164" i="8"/>
  <c r="AB164" i="8" s="1"/>
  <c r="AB163" i="8"/>
  <c r="AA163" i="8"/>
  <c r="AA162" i="8"/>
  <c r="AD162" i="8" s="1"/>
  <c r="AA161" i="8"/>
  <c r="AD161" i="8" s="1"/>
  <c r="AA160" i="8"/>
  <c r="AD160" i="8" s="1"/>
  <c r="AB159" i="8"/>
  <c r="AA158" i="8"/>
  <c r="AA157" i="8"/>
  <c r="AD157" i="8" s="1"/>
  <c r="AB156" i="8"/>
  <c r="AA156" i="8"/>
  <c r="AB155" i="8"/>
  <c r="AA155" i="8"/>
  <c r="AB154" i="8"/>
  <c r="AA154" i="8"/>
  <c r="AA153" i="8"/>
  <c r="AB152" i="8"/>
  <c r="AA152" i="8"/>
  <c r="AA151" i="8"/>
  <c r="AD151" i="8" s="1"/>
  <c r="AA150" i="8"/>
  <c r="AB150" i="8" s="1"/>
  <c r="H150" i="8"/>
  <c r="G150" i="8" s="1"/>
  <c r="AD149" i="8"/>
  <c r="AA149" i="8"/>
  <c r="AB148" i="8"/>
  <c r="AA148" i="8"/>
  <c r="AB147" i="8"/>
  <c r="AA147" i="8"/>
  <c r="AA146" i="8"/>
  <c r="AB146" i="8" s="1"/>
  <c r="AA145" i="8"/>
  <c r="AA144" i="8"/>
  <c r="AB144" i="8" s="1"/>
  <c r="AA143" i="8"/>
  <c r="AD143" i="8" s="1"/>
  <c r="AA142" i="8"/>
  <c r="AB142" i="8" s="1"/>
  <c r="AA141" i="8"/>
  <c r="AB141" i="8" s="1"/>
  <c r="AA140" i="8"/>
  <c r="AB140" i="8" s="1"/>
  <c r="AA139" i="8"/>
  <c r="AB139" i="8" s="1"/>
  <c r="AA138" i="8"/>
  <c r="AB138" i="8" s="1"/>
  <c r="AA137" i="8"/>
  <c r="AD137" i="8" s="1"/>
  <c r="AA136" i="8"/>
  <c r="AA135" i="8"/>
  <c r="AA134" i="8"/>
  <c r="AA133" i="8"/>
  <c r="AA132" i="8"/>
  <c r="AB131" i="8"/>
  <c r="AA131" i="8"/>
  <c r="AB130" i="8"/>
  <c r="AA130" i="8"/>
  <c r="AB129" i="8"/>
  <c r="AA129" i="8"/>
  <c r="AB128" i="8"/>
  <c r="AA128" i="8"/>
  <c r="AB127" i="8"/>
  <c r="AA127" i="8"/>
  <c r="AB126" i="8"/>
  <c r="AA126" i="8"/>
  <c r="AB125" i="8"/>
  <c r="AA125" i="8"/>
  <c r="AB124" i="8"/>
  <c r="AA124" i="8"/>
  <c r="AB123" i="8"/>
  <c r="AA123" i="8"/>
  <c r="AB122" i="8"/>
  <c r="AA122" i="8"/>
  <c r="AB121" i="8"/>
  <c r="AA121" i="8"/>
  <c r="AB120" i="8"/>
  <c r="AA120" i="8"/>
  <c r="AA119" i="8"/>
  <c r="AA118" i="8"/>
  <c r="AA117" i="8"/>
  <c r="AA116" i="8"/>
  <c r="AA115" i="8"/>
  <c r="AA114" i="8"/>
  <c r="AA113" i="8"/>
  <c r="AA112" i="8"/>
  <c r="AA111" i="8"/>
  <c r="AA110" i="8"/>
  <c r="AA109" i="8"/>
  <c r="AA108" i="8"/>
  <c r="AA107" i="8"/>
  <c r="AA106" i="8"/>
  <c r="AA105" i="8"/>
  <c r="AA104" i="8"/>
  <c r="AA103" i="8"/>
  <c r="AA102" i="8"/>
  <c r="AA101" i="8"/>
  <c r="AA100" i="8"/>
  <c r="AA99" i="8"/>
  <c r="AA98" i="8"/>
  <c r="AA97" i="8"/>
  <c r="AA96" i="8"/>
  <c r="AA95" i="8"/>
  <c r="AA94" i="8"/>
  <c r="AD93" i="8"/>
  <c r="AA93" i="8"/>
  <c r="AD92" i="8"/>
  <c r="AA92" i="8"/>
  <c r="AA91" i="8"/>
  <c r="AB91" i="8" s="1"/>
  <c r="AA90" i="8"/>
  <c r="AB90" i="8" s="1"/>
  <c r="AB89" i="8"/>
  <c r="AA89" i="8"/>
  <c r="AB88" i="8"/>
  <c r="AA88" i="8"/>
  <c r="AA87" i="8"/>
  <c r="AD87" i="8" s="1"/>
  <c r="AA86" i="8"/>
  <c r="AD86" i="8" s="1"/>
  <c r="AA85" i="8"/>
  <c r="AB85" i="8" s="1"/>
  <c r="AA84" i="8"/>
  <c r="AB84" i="8" s="1"/>
  <c r="AA83" i="8"/>
  <c r="AB83" i="8" s="1"/>
  <c r="AA82" i="8"/>
  <c r="AB82" i="8" s="1"/>
  <c r="AA81" i="8"/>
  <c r="AD81" i="8" s="1"/>
  <c r="AA80" i="8"/>
  <c r="AD80" i="8" s="1"/>
  <c r="AA79" i="8"/>
  <c r="AA78" i="8"/>
  <c r="AA77" i="8"/>
  <c r="AA76" i="8"/>
  <c r="AA75" i="8"/>
  <c r="AA74" i="8"/>
  <c r="AA73" i="8"/>
  <c r="AA72" i="8"/>
  <c r="AA71" i="8"/>
  <c r="AA70" i="8"/>
  <c r="AA69" i="8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D54" i="8" s="1"/>
  <c r="AA53" i="8"/>
  <c r="AD53" i="8" s="1"/>
  <c r="AA52" i="8"/>
  <c r="AB52" i="8" s="1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B23" i="8" s="1"/>
  <c r="AA22" i="8"/>
  <c r="AD22" i="8" s="1"/>
  <c r="AA21" i="8"/>
  <c r="AD21" i="8" s="1"/>
  <c r="AA20" i="8"/>
  <c r="AB20" i="8" s="1"/>
  <c r="AA19" i="8"/>
  <c r="AB19" i="8" s="1"/>
  <c r="AA18" i="8"/>
  <c r="AB18" i="8" s="1"/>
  <c r="AA17" i="8"/>
  <c r="AA165" i="8" s="1"/>
  <c r="AF460" i="7"/>
  <c r="AB460" i="7"/>
  <c r="X460" i="7"/>
  <c r="W460" i="7"/>
  <c r="R460" i="7"/>
  <c r="AD458" i="7"/>
  <c r="AG458" i="7" s="1"/>
  <c r="AD456" i="7"/>
  <c r="AG456" i="7" s="1"/>
  <c r="AD454" i="7"/>
  <c r="AG454" i="7" s="1"/>
  <c r="AD452" i="7"/>
  <c r="AG452" i="7" s="1"/>
  <c r="AD450" i="7"/>
  <c r="AG450" i="7" s="1"/>
  <c r="AD448" i="7"/>
  <c r="AD446" i="7"/>
  <c r="AD444" i="7"/>
  <c r="AD442" i="7"/>
  <c r="AG442" i="7" s="1"/>
  <c r="AD440" i="7"/>
  <c r="AG440" i="7" s="1"/>
  <c r="AD438" i="7"/>
  <c r="AG438" i="7" s="1"/>
  <c r="AD436" i="7"/>
  <c r="AG436" i="7" s="1"/>
  <c r="AG434" i="7"/>
  <c r="AD434" i="7"/>
  <c r="AD432" i="7"/>
  <c r="U432" i="7"/>
  <c r="U460" i="7" s="1"/>
  <c r="AD430" i="7"/>
  <c r="AG430" i="7" s="1"/>
  <c r="AD428" i="7"/>
  <c r="AG428" i="7" s="1"/>
  <c r="AD426" i="7"/>
  <c r="AE426" i="7" s="1"/>
  <c r="AD424" i="7"/>
  <c r="AE424" i="7" s="1"/>
  <c r="AD422" i="7"/>
  <c r="AE422" i="7" s="1"/>
  <c r="AD420" i="7"/>
  <c r="AE420" i="7" s="1"/>
  <c r="AD418" i="7"/>
  <c r="AE418" i="7" s="1"/>
  <c r="AD416" i="7"/>
  <c r="AE416" i="7" s="1"/>
  <c r="AD414" i="7"/>
  <c r="AE414" i="7" s="1"/>
  <c r="AD412" i="7"/>
  <c r="AE412" i="7" s="1"/>
  <c r="AD410" i="7"/>
  <c r="AE410" i="7" s="1"/>
  <c r="AD408" i="7"/>
  <c r="AE408" i="7" s="1"/>
  <c r="AD406" i="7"/>
  <c r="AE406" i="7" s="1"/>
  <c r="AD404" i="7"/>
  <c r="AE404" i="7" s="1"/>
  <c r="AD402" i="7"/>
  <c r="AE402" i="7" s="1"/>
  <c r="AD400" i="7"/>
  <c r="AE400" i="7" s="1"/>
  <c r="AD398" i="7"/>
  <c r="AE398" i="7" s="1"/>
  <c r="AD396" i="7"/>
  <c r="AE396" i="7" s="1"/>
  <c r="AD394" i="7"/>
  <c r="AE394" i="7" s="1"/>
  <c r="AD392" i="7"/>
  <c r="AE392" i="7" s="1"/>
  <c r="AD390" i="7"/>
  <c r="AE390" i="7" s="1"/>
  <c r="AD388" i="7"/>
  <c r="AE388" i="7" s="1"/>
  <c r="AD386" i="7"/>
  <c r="AE386" i="7" s="1"/>
  <c r="AD384" i="7"/>
  <c r="AE384" i="7" s="1"/>
  <c r="AG382" i="7"/>
  <c r="AD382" i="7"/>
  <c r="AG381" i="7"/>
  <c r="AD381" i="7"/>
  <c r="AG380" i="7"/>
  <c r="AD380" i="7"/>
  <c r="AD378" i="7"/>
  <c r="AG378" i="7" s="1"/>
  <c r="AD377" i="7"/>
  <c r="AG377" i="7" s="1"/>
  <c r="AD376" i="7"/>
  <c r="AG376" i="7" s="1"/>
  <c r="AG374" i="7"/>
  <c r="AD374" i="7"/>
  <c r="AG372" i="7"/>
  <c r="AD372" i="7"/>
  <c r="AD370" i="7"/>
  <c r="AG368" i="7"/>
  <c r="AD368" i="7"/>
  <c r="AD366" i="7"/>
  <c r="AG366" i="7" s="1"/>
  <c r="AG364" i="7"/>
  <c r="AD364" i="7"/>
  <c r="AE362" i="7"/>
  <c r="AC362" i="7"/>
  <c r="AD362" i="7" s="1"/>
  <c r="AE360" i="7"/>
  <c r="AC360" i="7"/>
  <c r="AD360" i="7" s="1"/>
  <c r="AE358" i="7"/>
  <c r="AC358" i="7"/>
  <c r="AD358" i="7" s="1"/>
  <c r="AG358" i="7" s="1"/>
  <c r="AC356" i="7"/>
  <c r="AD356" i="7" s="1"/>
  <c r="AG356" i="7" s="1"/>
  <c r="AC354" i="7"/>
  <c r="AD354" i="7" s="1"/>
  <c r="AG354" i="7" s="1"/>
  <c r="AD352" i="7"/>
  <c r="AG352" i="7" s="1"/>
  <c r="AC352" i="7"/>
  <c r="AG351" i="7"/>
  <c r="AD351" i="7"/>
  <c r="AG350" i="7"/>
  <c r="AD350" i="7"/>
  <c r="AD348" i="7"/>
  <c r="AE348" i="7" s="1"/>
  <c r="AD346" i="7"/>
  <c r="AE346" i="7" s="1"/>
  <c r="AD344" i="7"/>
  <c r="AE344" i="7" s="1"/>
  <c r="AD342" i="7"/>
  <c r="AE342" i="7" s="1"/>
  <c r="AD340" i="7"/>
  <c r="AE340" i="7" s="1"/>
  <c r="Y338" i="7"/>
  <c r="AG338" i="7" s="1"/>
  <c r="AG336" i="7"/>
  <c r="AD336" i="7"/>
  <c r="AD335" i="7"/>
  <c r="AD334" i="7"/>
  <c r="AG332" i="7"/>
  <c r="Y332" i="7"/>
  <c r="AD330" i="7"/>
  <c r="AD328" i="7"/>
  <c r="AE328" i="7" s="1"/>
  <c r="AD326" i="7"/>
  <c r="AE326" i="7" s="1"/>
  <c r="AD324" i="7"/>
  <c r="AE324" i="7" s="1"/>
  <c r="AD322" i="7"/>
  <c r="AG322" i="7" s="1"/>
  <c r="Z320" i="7"/>
  <c r="Z460" i="7" s="1"/>
  <c r="AD318" i="7"/>
  <c r="AG318" i="7" s="1"/>
  <c r="AD316" i="7"/>
  <c r="AG316" i="7" s="1"/>
  <c r="AD314" i="7"/>
  <c r="AG314" i="7" s="1"/>
  <c r="AG312" i="7"/>
  <c r="AD312" i="7"/>
  <c r="AG310" i="7"/>
  <c r="AD310" i="7"/>
  <c r="Y308" i="7"/>
  <c r="AD308" i="7" s="1"/>
  <c r="AG306" i="7"/>
  <c r="AD306" i="7"/>
  <c r="AD304" i="7"/>
  <c r="AE304" i="7" s="1"/>
  <c r="AG302" i="7"/>
  <c r="AD302" i="7"/>
  <c r="AG300" i="7"/>
  <c r="AD300" i="7"/>
  <c r="Y298" i="7"/>
  <c r="AG298" i="7" s="1"/>
  <c r="AG297" i="7"/>
  <c r="AD297" i="7"/>
  <c r="AG296" i="7"/>
  <c r="AD296" i="7"/>
  <c r="Y294" i="7"/>
  <c r="AD294" i="7" s="1"/>
  <c r="AG293" i="7"/>
  <c r="AD293" i="7"/>
  <c r="AG292" i="7"/>
  <c r="AD292" i="7"/>
  <c r="Y290" i="7"/>
  <c r="AG290" i="7" s="1"/>
  <c r="AD288" i="7"/>
  <c r="AG288" i="7" s="1"/>
  <c r="AD286" i="7"/>
  <c r="AG286" i="7" s="1"/>
  <c r="AD284" i="7"/>
  <c r="AG284" i="7" s="1"/>
  <c r="AD282" i="7"/>
  <c r="AE282" i="7" s="1"/>
  <c r="AD280" i="7"/>
  <c r="AE280" i="7" s="1"/>
  <c r="AD278" i="7"/>
  <c r="AE278" i="7" s="1"/>
  <c r="AD276" i="7"/>
  <c r="AE276" i="7" s="1"/>
  <c r="AD274" i="7"/>
  <c r="AE274" i="7" s="1"/>
  <c r="AD272" i="7"/>
  <c r="AE272" i="7" s="1"/>
  <c r="AE270" i="7"/>
  <c r="AD270" i="7"/>
  <c r="AE268" i="7"/>
  <c r="AD268" i="7"/>
  <c r="AE266" i="7"/>
  <c r="AD266" i="7"/>
  <c r="AE264" i="7"/>
  <c r="AD264" i="7"/>
  <c r="AE262" i="7"/>
  <c r="AD262" i="7"/>
  <c r="AE260" i="7"/>
  <c r="AD260" i="7"/>
  <c r="AE258" i="7"/>
  <c r="AD258" i="7"/>
  <c r="AE256" i="7"/>
  <c r="AD256" i="7"/>
  <c r="AE254" i="7"/>
  <c r="AD254" i="7"/>
  <c r="AE252" i="7"/>
  <c r="AD252" i="7"/>
  <c r="AG250" i="7"/>
  <c r="AD250" i="7"/>
  <c r="Y248" i="7"/>
  <c r="AD248" i="7" s="1"/>
  <c r="AD246" i="7"/>
  <c r="AG246" i="7" s="1"/>
  <c r="AD244" i="7"/>
  <c r="AG244" i="7" s="1"/>
  <c r="AD242" i="7"/>
  <c r="AG242" i="7" s="1"/>
  <c r="Y240" i="7"/>
  <c r="AG240" i="7" s="1"/>
  <c r="AD238" i="7"/>
  <c r="AE238" i="7" s="1"/>
  <c r="AD236" i="7"/>
  <c r="AG236" i="7" s="1"/>
  <c r="AD234" i="7"/>
  <c r="AG234" i="7" s="1"/>
  <c r="AD232" i="7"/>
  <c r="AG232" i="7" s="1"/>
  <c r="AD230" i="7"/>
  <c r="AG230" i="7" s="1"/>
  <c r="AD228" i="7"/>
  <c r="AG228" i="7" s="1"/>
  <c r="AD226" i="7"/>
  <c r="AG226" i="7" s="1"/>
  <c r="AD224" i="7"/>
  <c r="AG224" i="7" s="1"/>
  <c r="AD222" i="7"/>
  <c r="AG222" i="7" s="1"/>
  <c r="AD220" i="7"/>
  <c r="AG220" i="7" s="1"/>
  <c r="AD218" i="7"/>
  <c r="AG218" i="7" s="1"/>
  <c r="AD216" i="7"/>
  <c r="AG216" i="7" s="1"/>
  <c r="AD214" i="7"/>
  <c r="AG214" i="7" s="1"/>
  <c r="AD212" i="7"/>
  <c r="AG212" i="7" s="1"/>
  <c r="AD210" i="7"/>
  <c r="AG210" i="7" s="1"/>
  <c r="AD208" i="7"/>
  <c r="AG208" i="7" s="1"/>
  <c r="AG206" i="7"/>
  <c r="AD206" i="7"/>
  <c r="AD205" i="7"/>
  <c r="AG205" i="7" s="1"/>
  <c r="AD204" i="7"/>
  <c r="AG204" i="7" s="1"/>
  <c r="AD202" i="7"/>
  <c r="AE202" i="7" s="1"/>
  <c r="AD200" i="7"/>
  <c r="AE200" i="7" s="1"/>
  <c r="AD198" i="7"/>
  <c r="AE198" i="7" s="1"/>
  <c r="AD196" i="7"/>
  <c r="AG196" i="7" s="1"/>
  <c r="AD194" i="7"/>
  <c r="AG194" i="7" s="1"/>
  <c r="AD192" i="7"/>
  <c r="AG192" i="7" s="1"/>
  <c r="AD190" i="7"/>
  <c r="AG190" i="7" s="1"/>
  <c r="AD188" i="7"/>
  <c r="AG188" i="7" s="1"/>
  <c r="AD186" i="7"/>
  <c r="AG186" i="7" s="1"/>
  <c r="AD184" i="7"/>
  <c r="AG184" i="7" s="1"/>
  <c r="AD182" i="7"/>
  <c r="AG182" i="7" s="1"/>
  <c r="AD180" i="7"/>
  <c r="AG180" i="7" s="1"/>
  <c r="AD178" i="7"/>
  <c r="AG178" i="7" s="1"/>
  <c r="AD176" i="7"/>
  <c r="AG176" i="7" s="1"/>
  <c r="AD174" i="7"/>
  <c r="AG174" i="7" s="1"/>
  <c r="AD172" i="7"/>
  <c r="AG172" i="7" s="1"/>
  <c r="AD170" i="7"/>
  <c r="AG170" i="7" s="1"/>
  <c r="AG169" i="7"/>
  <c r="AD169" i="7"/>
  <c r="AG168" i="7"/>
  <c r="AD168" i="7"/>
  <c r="AG167" i="7"/>
  <c r="AD167" i="7"/>
  <c r="AG166" i="7"/>
  <c r="AD166" i="7"/>
  <c r="AD164" i="7"/>
  <c r="AE164" i="7" s="1"/>
  <c r="AD162" i="7"/>
  <c r="AE162" i="7" s="1"/>
  <c r="AD160" i="7"/>
  <c r="AE160" i="7" s="1"/>
  <c r="AD158" i="7"/>
  <c r="AE158" i="7" s="1"/>
  <c r="AD156" i="7"/>
  <c r="AE156" i="7" s="1"/>
  <c r="AD154" i="7"/>
  <c r="AE154" i="7" s="1"/>
  <c r="AD152" i="7"/>
  <c r="AE152" i="7" s="1"/>
  <c r="AD150" i="7"/>
  <c r="AE150" i="7" s="1"/>
  <c r="AD148" i="7"/>
  <c r="AE148" i="7" s="1"/>
  <c r="AD146" i="7"/>
  <c r="AE146" i="7" s="1"/>
  <c r="AD144" i="7"/>
  <c r="AE144" i="7" s="1"/>
  <c r="AD142" i="7"/>
  <c r="AE142" i="7" s="1"/>
  <c r="AD140" i="7"/>
  <c r="AE140" i="7" s="1"/>
  <c r="AD138" i="7"/>
  <c r="AE138" i="7" s="1"/>
  <c r="AD136" i="7"/>
  <c r="AE136" i="7" s="1"/>
  <c r="AD134" i="7"/>
  <c r="AG134" i="7" s="1"/>
  <c r="AD132" i="7"/>
  <c r="AG132" i="7" s="1"/>
  <c r="AD129" i="7"/>
  <c r="AG129" i="7" s="1"/>
  <c r="AD127" i="7"/>
  <c r="AE127" i="7" s="1"/>
  <c r="AD125" i="7"/>
  <c r="AE125" i="7" s="1"/>
  <c r="AD123" i="7"/>
  <c r="AE123" i="7" s="1"/>
  <c r="AD121" i="7"/>
  <c r="AE121" i="7" s="1"/>
  <c r="AD119" i="7"/>
  <c r="AE119" i="7" s="1"/>
  <c r="AD117" i="7"/>
  <c r="AE117" i="7" s="1"/>
  <c r="AD115" i="7"/>
  <c r="AE115" i="7" s="1"/>
  <c r="AD113" i="7"/>
  <c r="AE113" i="7" s="1"/>
  <c r="AD111" i="7"/>
  <c r="AE111" i="7" s="1"/>
  <c r="AD109" i="7"/>
  <c r="AE109" i="7" s="1"/>
  <c r="AD107" i="7"/>
  <c r="AG107" i="7" s="1"/>
  <c r="AD105" i="7"/>
  <c r="AE105" i="7" s="1"/>
  <c r="AD103" i="7"/>
  <c r="AE103" i="7" s="1"/>
  <c r="AD101" i="7"/>
  <c r="AE101" i="7" s="1"/>
  <c r="AD99" i="7"/>
  <c r="AE99" i="7" s="1"/>
  <c r="AD97" i="7"/>
  <c r="AE97" i="7" s="1"/>
  <c r="AD95" i="7"/>
  <c r="AE95" i="7" s="1"/>
  <c r="AD93" i="7"/>
  <c r="AE93" i="7" s="1"/>
  <c r="AD91" i="7"/>
  <c r="AE91" i="7" s="1"/>
  <c r="AD89" i="7"/>
  <c r="AE89" i="7" s="1"/>
  <c r="AD87" i="7"/>
  <c r="AE87" i="7" s="1"/>
  <c r="AG86" i="7"/>
  <c r="AD86" i="7"/>
  <c r="AE85" i="7"/>
  <c r="AE460" i="7" s="1"/>
  <c r="AD85" i="7"/>
  <c r="AC85" i="7"/>
  <c r="AC460" i="7" s="1"/>
  <c r="AD83" i="7"/>
  <c r="AE83" i="7" s="1"/>
  <c r="AD81" i="7"/>
  <c r="AE81" i="7" s="1"/>
  <c r="AD79" i="7"/>
  <c r="AE79" i="7" s="1"/>
  <c r="AD77" i="7"/>
  <c r="AE77" i="7" s="1"/>
  <c r="AD75" i="7"/>
  <c r="AE75" i="7" s="1"/>
  <c r="AD73" i="7"/>
  <c r="AE73" i="7" s="1"/>
  <c r="AG72" i="7"/>
  <c r="AD72" i="7"/>
  <c r="AG71" i="7"/>
  <c r="AD71" i="7"/>
  <c r="AD69" i="7"/>
  <c r="AA67" i="7"/>
  <c r="Y67" i="7"/>
  <c r="AD65" i="7"/>
  <c r="AG65" i="7" s="1"/>
  <c r="AC65" i="7"/>
  <c r="AG63" i="7"/>
  <c r="AD63" i="7"/>
  <c r="AG61" i="7"/>
  <c r="AD61" i="7"/>
  <c r="AG59" i="7"/>
  <c r="AD59" i="7"/>
  <c r="AE57" i="7"/>
  <c r="AD57" i="7"/>
  <c r="AE55" i="7"/>
  <c r="AD55" i="7"/>
  <c r="AE53" i="7"/>
  <c r="AD53" i="7"/>
  <c r="AE51" i="7"/>
  <c r="AD51" i="7"/>
  <c r="AE49" i="7"/>
  <c r="AD49" i="7"/>
  <c r="AE47" i="7"/>
  <c r="AD47" i="7"/>
  <c r="AE45" i="7"/>
  <c r="AD45" i="7"/>
  <c r="AD43" i="7"/>
  <c r="AE43" i="7" s="1"/>
  <c r="AD41" i="7"/>
  <c r="AE41" i="7" s="1"/>
  <c r="AD39" i="7"/>
  <c r="AE39" i="7" s="1"/>
  <c r="AD37" i="7"/>
  <c r="AE37" i="7" s="1"/>
  <c r="AD35" i="7"/>
  <c r="AE35" i="7" s="1"/>
  <c r="AD33" i="7"/>
  <c r="AE33" i="7" s="1"/>
  <c r="AD31" i="7"/>
  <c r="AE31" i="7" s="1"/>
  <c r="AD29" i="7"/>
  <c r="AE29" i="7" s="1"/>
  <c r="AD27" i="7"/>
  <c r="AE27" i="7" s="1"/>
  <c r="AD25" i="7"/>
  <c r="AE25" i="7" s="1"/>
  <c r="AD23" i="7"/>
  <c r="AE23" i="7" s="1"/>
  <c r="AD21" i="7"/>
  <c r="AE21" i="7" s="1"/>
  <c r="AD19" i="7"/>
  <c r="AE19" i="7" s="1"/>
  <c r="AD17" i="7"/>
  <c r="AE17" i="7" s="1"/>
  <c r="AG16" i="7"/>
  <c r="AD16" i="7"/>
  <c r="AG15" i="7"/>
  <c r="AD15" i="7"/>
  <c r="AG14" i="7"/>
  <c r="AD14" i="7"/>
  <c r="AG13" i="7"/>
  <c r="AD13" i="7"/>
  <c r="AD12" i="7"/>
  <c r="AD11" i="7"/>
  <c r="AA9" i="7"/>
  <c r="AA460" i="7" s="1"/>
  <c r="Y9" i="7"/>
  <c r="Y460" i="7" s="1"/>
  <c r="V9" i="7"/>
  <c r="V460" i="7" s="1"/>
  <c r="T9" i="7"/>
  <c r="T460" i="7" s="1"/>
  <c r="S9" i="7"/>
  <c r="S460" i="7" s="1"/>
  <c r="Q9" i="7"/>
  <c r="Q460" i="7" s="1"/>
  <c r="AG8" i="7"/>
  <c r="AD8" i="7"/>
  <c r="AG7" i="7"/>
  <c r="AD7" i="7"/>
  <c r="J199" i="6"/>
  <c r="J198" i="6"/>
  <c r="J197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E555" i="1"/>
  <c r="E463" i="1"/>
  <c r="E458" i="1"/>
  <c r="E455" i="1"/>
  <c r="E453" i="1"/>
  <c r="E450" i="1"/>
  <c r="E446" i="1"/>
  <c r="E443" i="1"/>
  <c r="E439" i="1"/>
  <c r="E435" i="1"/>
  <c r="E431" i="1"/>
  <c r="E428" i="1"/>
  <c r="E400" i="1"/>
  <c r="E397" i="1"/>
  <c r="E216" i="1"/>
  <c r="E210" i="1"/>
  <c r="AD67" i="7" l="1"/>
  <c r="AG85" i="7"/>
  <c r="AG360" i="7"/>
  <c r="AG362" i="7"/>
  <c r="AA437" i="8"/>
  <c r="AA224" i="8"/>
  <c r="AA300" i="8"/>
  <c r="AB300" i="8" s="1"/>
  <c r="AA389" i="8"/>
  <c r="AA416" i="8"/>
  <c r="AA422" i="8"/>
  <c r="AA456" i="8"/>
  <c r="AD224" i="8"/>
  <c r="AA302" i="8"/>
  <c r="AA353" i="8"/>
  <c r="AA414" i="8"/>
  <c r="AA418" i="8"/>
  <c r="AB165" i="8"/>
  <c r="AD268" i="8"/>
  <c r="AB496" i="8"/>
  <c r="AA429" i="8"/>
  <c r="AA444" i="8"/>
  <c r="AD9" i="7"/>
  <c r="AG9" i="7"/>
  <c r="AD274" i="8"/>
  <c r="AA274" i="8"/>
  <c r="AD240" i="7"/>
  <c r="AG248" i="7"/>
  <c r="AD290" i="7"/>
  <c r="AG294" i="7"/>
  <c r="AD298" i="7"/>
  <c r="AG308" i="7"/>
  <c r="AD320" i="7"/>
  <c r="AD338" i="7"/>
  <c r="AG432" i="7"/>
  <c r="AD17" i="8"/>
  <c r="AD165" i="8" s="1"/>
  <c r="AA223" i="8"/>
  <c r="AA268" i="8" s="1"/>
  <c r="AD275" i="8"/>
  <c r="AD298" i="8"/>
  <c r="AD352" i="8"/>
  <c r="AA459" i="8"/>
  <c r="AD459" i="8"/>
  <c r="AG320" i="7"/>
  <c r="AA275" i="8"/>
  <c r="S330" i="8"/>
  <c r="AD330" i="8" s="1"/>
  <c r="AA371" i="8"/>
  <c r="AD371" i="8" s="1"/>
  <c r="T496" i="8"/>
  <c r="AA372" i="8"/>
  <c r="AA460" i="8"/>
  <c r="AD460" i="8"/>
  <c r="AA393" i="8"/>
  <c r="O394" i="8"/>
  <c r="AA415" i="8"/>
  <c r="AA417" i="8"/>
  <c r="W419" i="8"/>
  <c r="Y419" i="8"/>
  <c r="Y496" i="8" s="1"/>
  <c r="V420" i="8"/>
  <c r="X420" i="8"/>
  <c r="X496" i="8" s="1"/>
  <c r="AA423" i="8"/>
  <c r="AA424" i="8"/>
  <c r="AA432" i="8"/>
  <c r="AD437" i="8"/>
  <c r="AA438" i="8"/>
  <c r="AA451" i="8"/>
  <c r="AA453" i="8"/>
  <c r="AA455" i="8"/>
  <c r="N485" i="8"/>
  <c r="P485" i="8"/>
  <c r="P496" i="8" s="1"/>
  <c r="AD22" i="4"/>
  <c r="AA48" i="4"/>
  <c r="O75" i="4"/>
  <c r="Q75" i="4"/>
  <c r="V75" i="4"/>
  <c r="W420" i="8"/>
  <c r="O485" i="8"/>
  <c r="Q485" i="8"/>
  <c r="Q496" i="8" s="1"/>
  <c r="AD21" i="4"/>
  <c r="AA22" i="4"/>
  <c r="AB224" i="4"/>
  <c r="P75" i="4"/>
  <c r="P224" i="4" s="1"/>
  <c r="S75" i="4"/>
  <c r="S224" i="4" s="1"/>
  <c r="AD113" i="4"/>
  <c r="T224" i="4"/>
  <c r="AA113" i="4"/>
  <c r="AD180" i="4"/>
  <c r="AA180" i="4"/>
  <c r="AD182" i="4"/>
  <c r="AA182" i="4"/>
  <c r="P112" i="4"/>
  <c r="AD130" i="4"/>
  <c r="O135" i="4"/>
  <c r="Q135" i="4"/>
  <c r="AD143" i="4"/>
  <c r="AD145" i="4"/>
  <c r="X147" i="4"/>
  <c r="X224" i="4" s="1"/>
  <c r="W148" i="4"/>
  <c r="Y148" i="4"/>
  <c r="Y224" i="4" s="1"/>
  <c r="AD151" i="4"/>
  <c r="AD152" i="4"/>
  <c r="AD171" i="4"/>
  <c r="AD183" i="4"/>
  <c r="AD186" i="4"/>
  <c r="AD187" i="4"/>
  <c r="AD208" i="4"/>
  <c r="O112" i="4"/>
  <c r="Q112" i="4"/>
  <c r="Q224" i="4" s="1"/>
  <c r="N135" i="4"/>
  <c r="N224" i="4" s="1"/>
  <c r="P135" i="4"/>
  <c r="W147" i="4"/>
  <c r="V148" i="4"/>
  <c r="O210" i="4"/>
  <c r="AD210" i="4" s="1"/>
  <c r="Q210" i="4"/>
  <c r="AA210" i="4" s="1"/>
  <c r="AD460" i="7" l="1"/>
  <c r="AG460" i="7"/>
  <c r="O496" i="8"/>
  <c r="AD75" i="4"/>
  <c r="AD224" i="4" s="1"/>
  <c r="AA75" i="4"/>
  <c r="AA224" i="4" s="1"/>
  <c r="AD485" i="8"/>
  <c r="AA485" i="8"/>
  <c r="AA420" i="8"/>
  <c r="AD420" i="8"/>
  <c r="W496" i="8"/>
  <c r="AA419" i="8"/>
  <c r="AD419" i="8"/>
  <c r="AD394" i="8"/>
  <c r="AA330" i="8"/>
  <c r="S496" i="8"/>
  <c r="N496" i="8"/>
  <c r="AD148" i="4"/>
  <c r="AA148" i="4"/>
  <c r="W224" i="4"/>
  <c r="AD147" i="4"/>
  <c r="AA147" i="4"/>
  <c r="AD135" i="4"/>
  <c r="AA135" i="4"/>
  <c r="AA112" i="4"/>
  <c r="AD112" i="4" s="1"/>
  <c r="O224" i="4"/>
  <c r="V224" i="4"/>
  <c r="AA394" i="8"/>
  <c r="V496" i="8"/>
  <c r="AD496" i="8" l="1"/>
  <c r="AA496" i="8"/>
</calcChain>
</file>

<file path=xl/comments1.xml><?xml version="1.0" encoding="utf-8"?>
<comments xmlns="http://schemas.openxmlformats.org/spreadsheetml/2006/main">
  <authors>
    <author>Игорь</author>
    <author>Якубицкая Наталья Николаевна</author>
  </authors>
  <commentList>
    <comment ref="A211" authorId="0">
      <text>
        <r>
          <rPr>
            <sz val="9"/>
            <rFont val="Times New Roman"/>
            <family val="1"/>
            <charset val="204"/>
          </rPr>
          <t>удалила ГВС ХВС</t>
        </r>
      </text>
    </comment>
    <comment ref="E657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ИТП-124 000,00
К-1 043 593,87
Ф-1 423 458,11</t>
        </r>
      </text>
    </comment>
    <comment ref="E662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rFont val="Tahoma"/>
            <family val="2"/>
            <charset val="204"/>
          </rPr>
          <t xml:space="preserve">
</t>
        </r>
      </text>
    </comment>
    <comment ref="E692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Игорь</author>
    <author>Якубицкая Наталья Николаевна</author>
  </authors>
  <commentList>
    <comment ref="A211" authorId="0">
      <text>
        <r>
          <rPr>
            <sz val="9"/>
            <rFont val="Times New Roman"/>
            <family val="1"/>
            <charset val="204"/>
          </rPr>
          <t>удалила ГВС ХВС</t>
        </r>
      </text>
    </comment>
    <comment ref="E656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ИТП-124 000,00
К-1 043 593,87
Ф-1 423 458,11</t>
        </r>
      </text>
    </comment>
    <comment ref="E661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rFont val="Tahoma"/>
            <family val="2"/>
            <charset val="204"/>
          </rPr>
          <t xml:space="preserve">
</t>
        </r>
      </text>
    </comment>
    <comment ref="E691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Якубицкая Наталья Николаевна</author>
  </authors>
  <commentList>
    <comment ref="I14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I37" authorId="0">
      <text>
        <r>
          <rPr>
            <b/>
            <sz val="18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rFont val="Tahoma"/>
            <family val="2"/>
            <charset val="204"/>
          </rPr>
          <t xml:space="preserve">
</t>
        </r>
      </text>
    </comment>
    <comment ref="I46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760 248,60-крыша
124 00,00 - ИТП</t>
        </r>
      </text>
    </comment>
    <comment ref="I156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I157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I159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I160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I161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I162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I164" authorId="0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ИТП-124 000,00
К-1 043 593,87
Ф-1 423 458,11</t>
        </r>
      </text>
    </comment>
    <comment ref="I165" authorId="0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rFont val="Tahoma"/>
            <family val="2"/>
            <charset val="204"/>
          </rPr>
          <t xml:space="preserve">
</t>
        </r>
      </text>
    </comment>
    <comment ref="I169" authorId="0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 - 124 000,00
К-1 043 593,87
Ф-1 363 875,52</t>
        </r>
      </text>
    </comment>
    <comment ref="I173" authorId="0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I175" authorId="0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К -1028691,04
Ф-906378,24</t>
        </r>
      </text>
    </comment>
  </commentList>
</comments>
</file>

<file path=xl/comments4.xml><?xml version="1.0" encoding="utf-8"?>
<comments xmlns="http://schemas.openxmlformats.org/spreadsheetml/2006/main">
  <authors>
    <author>Волкова Надежда Александровна</author>
    <author>Якубицкая Наталья Николаевна</author>
    <author>Игорь</author>
    <author>Стеценко Татьяна Николавена</author>
  </authors>
  <commentList>
    <comment ref="AC65" authorId="0">
      <text>
        <r>
          <rPr>
            <sz val="14"/>
            <rFont val="Times New Roman"/>
            <family val="1"/>
            <charset val="204"/>
          </rPr>
          <t>РПД лифт 303 780,16 РПД ИТП 248 000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C67" authorId="1">
      <text>
        <r>
          <rPr>
            <b/>
            <sz val="18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rFont val="Tahoma"/>
            <family val="2"/>
            <charset val="204"/>
          </rPr>
          <t xml:space="preserve">
</t>
        </r>
      </text>
    </comment>
    <comment ref="C85" authorId="0">
      <text>
        <r>
          <rPr>
            <b/>
            <sz val="9"/>
            <rFont val="Tahoma"/>
            <family val="2"/>
            <charset val="204"/>
          </rPr>
          <t>добавили к крыше ИТП</t>
        </r>
      </text>
    </comment>
    <comment ref="AC85" authorId="0">
      <text>
        <r>
          <rPr>
            <sz val="14"/>
            <rFont val="Tahoma"/>
            <family val="2"/>
            <charset val="204"/>
          </rPr>
          <t>РПД крыши 760248,60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РПД ИТП 124000</t>
        </r>
      </text>
    </comment>
    <comment ref="AC302" authorId="1">
      <text>
        <r>
          <rPr>
            <b/>
            <sz val="16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rFont val="Tahoma"/>
            <family val="2"/>
            <charset val="204"/>
          </rPr>
          <t xml:space="preserve">
701 067,64-вдис
1 361 807,11 - крыша</t>
        </r>
      </text>
    </comment>
    <comment ref="Y332" authorId="2">
      <text>
        <r>
          <rPr>
            <sz val="9"/>
            <rFont val="Times New Roman"/>
            <family val="1"/>
            <charset val="204"/>
          </rPr>
          <t>по крыше есть ОСС</t>
        </r>
      </text>
    </comment>
    <comment ref="AC332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351 540,19 - крыша
179 617,32 -ВДП</t>
        </r>
      </text>
    </comment>
    <comment ref="AD332" authorId="0">
      <text>
        <r>
          <rPr>
            <b/>
            <sz val="9"/>
            <rFont val="Tahoma"/>
            <family val="2"/>
            <charset val="204"/>
          </rPr>
          <t>Волкова Надежда Александровна:</t>
        </r>
        <r>
          <rPr>
            <sz val="9"/>
            <rFont val="Tahoma"/>
            <family val="2"/>
            <charset val="204"/>
          </rPr>
          <t xml:space="preserve">
в ПАГМ неприн реш вкл сумма всего 1746568,02 (без крыши-ОСС)</t>
        </r>
      </text>
    </comment>
    <comment ref="C334" authorId="3">
      <text>
        <r>
          <rPr>
            <b/>
            <sz val="9"/>
            <rFont val="Tahoma"/>
            <family val="2"/>
            <charset val="204"/>
          </rPr>
          <t>Стеценко Татьяна Николавена:</t>
        </r>
        <r>
          <rPr>
            <sz val="9"/>
            <rFont val="Tahoma"/>
            <family val="2"/>
            <charset val="204"/>
          </rPr>
          <t xml:space="preserve">
новый</t>
        </r>
      </text>
    </comment>
    <comment ref="Y350" authorId="0">
      <text>
        <r>
          <rPr>
            <b/>
            <sz val="9"/>
            <rFont val="Tahoma"/>
            <family val="2"/>
            <charset val="204"/>
          </rPr>
          <t>Волкова Надежда Александровна:</t>
        </r>
        <r>
          <rPr>
            <sz val="9"/>
            <rFont val="Tahoma"/>
            <family val="2"/>
            <charset val="204"/>
          </rPr>
          <t xml:space="preserve">
незначительные изменения</t>
        </r>
      </text>
    </comment>
    <comment ref="AC352" authorId="0">
      <text>
        <r>
          <rPr>
            <sz val="14"/>
            <rFont val="Times New Roman"/>
            <family val="1"/>
            <charset val="204"/>
          </rPr>
          <t>РПД лифт 151890,08 РПД ИТП 248000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C354" authorId="0">
      <text>
        <r>
          <rPr>
            <sz val="14"/>
            <rFont val="Tahoma"/>
            <family val="2"/>
            <charset val="204"/>
          </rPr>
          <t>РПД лифт 151890,08 РПД ИТП 248000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C356" authorId="0">
      <text>
        <r>
          <rPr>
            <sz val="9"/>
            <rFont val="Tahoma"/>
            <family val="2"/>
            <charset val="204"/>
          </rPr>
          <t xml:space="preserve">РПД лифт 151890,08 РПД ИТП 248000
</t>
        </r>
      </text>
    </comment>
    <comment ref="AC358" authorId="0">
      <text>
        <r>
          <rPr>
            <sz val="9"/>
            <rFont val="Tahoma"/>
            <family val="2"/>
            <charset val="204"/>
          </rPr>
          <t xml:space="preserve">РПД лифт 227835,12 ИТП 372000
</t>
        </r>
      </text>
    </comment>
    <comment ref="AC360" authorId="0">
      <text>
        <r>
          <rPr>
            <b/>
            <sz val="9"/>
            <rFont val="Tahoma"/>
            <family val="2"/>
            <charset val="204"/>
          </rPr>
          <t xml:space="preserve">РПД лифт 379725,20 ИТП 620000
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C362" authorId="0">
      <text>
        <r>
          <rPr>
            <sz val="9"/>
            <rFont val="Tahoma"/>
            <family val="2"/>
            <charset val="204"/>
          </rPr>
          <t xml:space="preserve">РПД лифт 227835,12 ИТП 372000
</t>
        </r>
      </text>
    </comment>
    <comment ref="AC384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ИТП-124 000,00
К-1 043 593,87
Ф-1 423 458,11</t>
        </r>
      </text>
    </comment>
    <comment ref="AC386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rFont val="Tahoma"/>
            <family val="2"/>
            <charset val="204"/>
          </rPr>
          <t xml:space="preserve">
</t>
        </r>
      </text>
    </comment>
    <comment ref="AC394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 - 124 000,00
К-1 043 593,87
Ф-1 363 875,52</t>
        </r>
      </text>
    </comment>
    <comment ref="AC402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C406" authorId="1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К -1028691,04
Ф-906378,24</t>
        </r>
      </text>
    </comment>
    <comment ref="AC434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612 022,10 - КРЫША
482 711,94- ФАСАД</t>
        </r>
      </text>
    </comment>
    <comment ref="AD434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comments5.xml><?xml version="1.0" encoding="utf-8"?>
<comments xmlns="http://schemas.openxmlformats.org/spreadsheetml/2006/main">
  <authors>
    <author>Автор</author>
    <author>Якубицкая Наталья Николаевна</author>
    <author>Стеценко Татьяна Николавена</author>
  </authors>
  <commentList>
    <comment ref="Z136" authorId="0">
      <text>
        <r>
          <rPr>
            <b/>
            <sz val="20"/>
            <rFont val="Tahoma"/>
            <family val="2"/>
            <charset val="204"/>
          </rPr>
          <t>Автор:</t>
        </r>
        <r>
          <rPr>
            <sz val="20"/>
            <rFont val="Tahoma"/>
            <family val="2"/>
            <charset val="204"/>
          </rPr>
          <t xml:space="preserve">
крыша</t>
        </r>
      </text>
    </comment>
    <comment ref="Z158" authorId="0">
      <text>
        <r>
          <rPr>
            <b/>
            <sz val="18"/>
            <rFont val="Tahoma"/>
            <family val="2"/>
            <charset val="204"/>
          </rPr>
          <t>Автор:</t>
        </r>
        <r>
          <rPr>
            <sz val="18"/>
            <rFont val="Tahoma"/>
            <family val="2"/>
            <charset val="204"/>
          </rPr>
          <t xml:space="preserve">
крыша</t>
        </r>
      </text>
    </comment>
    <comment ref="Z230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rFont val="Tahoma"/>
            <family val="2"/>
            <charset val="204"/>
          </rPr>
          <t xml:space="preserve">
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273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Z300" authorId="1">
      <text>
        <r>
          <rPr>
            <b/>
            <sz val="18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rFont val="Tahoma"/>
            <family val="2"/>
            <charset val="204"/>
          </rPr>
          <t xml:space="preserve">
</t>
        </r>
      </text>
    </comment>
    <comment ref="Z309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760 248,60-крыша
124 00,00 - ИТП</t>
        </r>
      </text>
    </comment>
    <comment ref="P330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АКТ ОБ ОТКАЗЕ В ПРЕД ДОСТУПА</t>
        </r>
      </text>
    </comment>
    <comment ref="Q330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АКТ ОБ ОТКАЗЕ В ПРЕД ДОСТУПА</t>
        </r>
      </text>
    </comment>
    <comment ref="Z420" authorId="1">
      <text>
        <r>
          <rPr>
            <b/>
            <sz val="16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rFont val="Tahoma"/>
            <family val="2"/>
            <charset val="204"/>
          </rPr>
          <t xml:space="preserve">
701 067,64-вдис
1 361 807,11 - крыша</t>
        </r>
      </text>
    </comment>
    <comment ref="Z432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351 540,19 - крыша
179 617,32 -ВДП</t>
        </r>
      </text>
    </comment>
    <comment ref="C436" authorId="2">
      <text>
        <r>
          <rPr>
            <b/>
            <sz val="9"/>
            <rFont val="Tahoma"/>
            <family val="2"/>
            <charset val="204"/>
          </rPr>
          <t>Стеценко Татьяна Николавена:</t>
        </r>
        <r>
          <rPr>
            <sz val="9"/>
            <rFont val="Tahoma"/>
            <family val="2"/>
            <charset val="204"/>
          </rPr>
          <t xml:space="preserve">
новый</t>
        </r>
      </text>
    </comment>
    <comment ref="Z445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446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447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448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449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Z450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461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ИТП-124 000,00
К-1 043 593,87
Ф-1 423 458,11</t>
        </r>
      </text>
    </comment>
    <comment ref="Z462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rFont val="Tahoma"/>
            <family val="2"/>
            <charset val="204"/>
          </rPr>
          <t xml:space="preserve">
</t>
        </r>
      </text>
    </comment>
    <comment ref="Z466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ИТП - 124 000,00
К-1 043 593,87
Ф-1 363 875,52</t>
        </r>
      </text>
    </comment>
    <comment ref="Z470" authorId="1">
      <text>
        <r>
          <rPr>
            <b/>
            <sz val="20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471" authorId="1">
      <text>
        <r>
          <rPr>
            <b/>
            <sz val="20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472" authorId="1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К -1028691,04
Ф-906378,24</t>
        </r>
      </text>
    </comment>
    <comment ref="Z486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612 022,10 - КРЫША
482 711,94- ФАСАД</t>
        </r>
      </text>
    </comment>
    <comment ref="AA486" authorId="1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comments6.xml><?xml version="1.0" encoding="utf-8"?>
<comments xmlns="http://schemas.openxmlformats.org/spreadsheetml/2006/main">
  <authors>
    <author>Якубицкая Наталья Николаевна</author>
  </authors>
  <commentList>
    <comment ref="E14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E45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760 248,60-крыша
124 00,00 - ИТП</t>
        </r>
      </text>
    </comment>
    <comment ref="E140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E141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E142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E143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E144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E145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Якубицкая Наталья Николаевна</author>
    <author>Стеценко Татьяна Николавена</author>
  </authors>
  <commentList>
    <comment ref="Z20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Z55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760 248,60-крыша
124 00,00 - ИТП</t>
        </r>
      </text>
    </comment>
    <comment ref="Z148" authorId="0">
      <text>
        <r>
          <rPr>
            <b/>
            <sz val="16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rFont val="Tahoma"/>
            <family val="2"/>
            <charset val="204"/>
          </rPr>
          <t xml:space="preserve">
701 067,64-вдис
1 361 807,11 - крыша</t>
        </r>
      </text>
    </comment>
    <comment ref="Z159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351 540,19 - крыша
179 617,32 -ВДП</t>
        </r>
      </text>
    </comment>
    <comment ref="C163" authorId="1">
      <text>
        <r>
          <rPr>
            <b/>
            <sz val="9"/>
            <rFont val="Tahoma"/>
            <family val="2"/>
            <charset val="204"/>
          </rPr>
          <t>Стеценко Татьяна Николавена:</t>
        </r>
        <r>
          <rPr>
            <sz val="9"/>
            <rFont val="Tahoma"/>
            <family val="2"/>
            <charset val="204"/>
          </rPr>
          <t xml:space="preserve">
новый</t>
        </r>
      </text>
    </comment>
    <comment ref="Z172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173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174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151 890,08-ло
248 000,00 -итп</t>
        </r>
      </text>
    </comment>
    <comment ref="Z175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176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rFont val="Tahoma"/>
            <family val="2"/>
            <charset val="204"/>
          </rPr>
          <t xml:space="preserve">
</t>
        </r>
      </text>
    </comment>
    <comment ref="Z177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Z211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612 022,10 - КРЫША
482 711,94- ФАСАД</t>
        </r>
      </text>
    </comment>
    <comment ref="AA211" authorId="0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<sst xmlns="http://schemas.openxmlformats.org/spreadsheetml/2006/main" count="7877" uniqueCount="873">
  <si>
    <t xml:space="preserve">                                                                   Приложение</t>
  </si>
  <si>
    <t xml:space="preserve">                                                                   к постановлению администрации</t>
  </si>
  <si>
    <t xml:space="preserve">                                                                    города Мурманска</t>
  </si>
  <si>
    <t xml:space="preserve">                                                                     от             №  </t>
  </si>
  <si>
    <t xml:space="preserve">Перечень многоквартирных домов, включенных в краткосрочный план реализации региональной программы </t>
  </si>
  <si>
    <t>капитального ремонта общего имущества в многоквартирных домах, расположенных на территории Мурманской</t>
  </si>
  <si>
    <t xml:space="preserve">области, на 2022 год, собственники помещений в которых в срок, установленный ч. 4 ст. 189 Жилищного кодекса </t>
  </si>
  <si>
    <t>Российской Федерации, не приняли решение о проведении капитального ремонта общего имущества</t>
  </si>
  <si>
    <t>с учетом предложений регионального оператора</t>
  </si>
  <si>
    <t>№ п/п</t>
  </si>
  <si>
    <t>Наименование улицы</t>
  </si>
  <si>
    <t>Номер дома, корпуса</t>
  </si>
  <si>
    <t>Перечень работ</t>
  </si>
  <si>
    <t>Плановая стоимость работ в соответствии с краткосрочным планом реализации региональной программы капитального ремонта общего имущества в многоквартирных домах, руб.</t>
  </si>
  <si>
    <t xml:space="preserve">ул. Адмирала флота Лобова </t>
  </si>
  <si>
    <t>11 корп. 2</t>
  </si>
  <si>
    <t>ремонт лифтового оборудования</t>
  </si>
  <si>
    <t>разработка проектной документации</t>
  </si>
  <si>
    <t>итого</t>
  </si>
  <si>
    <t>11 корп. 4</t>
  </si>
  <si>
    <t>11 корп. 6</t>
  </si>
  <si>
    <t>11 корп. 7</t>
  </si>
  <si>
    <t>ремонт системы теплоснабжения (ИТП)</t>
  </si>
  <si>
    <t>ул. Академика Павлова</t>
  </si>
  <si>
    <t>ремонт крыши</t>
  </si>
  <si>
    <t>8741366 ,96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</si>
  <si>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</si>
  <si>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</si>
  <si>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</si>
  <si>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</si>
  <si>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</si>
  <si>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фасада</t>
  </si>
  <si>
    <t xml:space="preserve">разработка проектной документации </t>
  </si>
  <si>
    <t>ремонт фундамента</t>
  </si>
  <si>
    <t xml:space="preserve">ул. Александра Невского </t>
  </si>
  <si>
    <t>ул. Александрова</t>
  </si>
  <si>
    <t>30 корп. 1</t>
  </si>
  <si>
    <t>30 корп. 2</t>
  </si>
  <si>
    <t>30 корп. 3</t>
  </si>
  <si>
    <t>34 корп. 1</t>
  </si>
  <si>
    <t>34 корп. 2</t>
  </si>
  <si>
    <t>ул. Алексея Хлобыстова</t>
  </si>
  <si>
    <t>пер. Арктический</t>
  </si>
  <si>
    <t>20 корп. 2</t>
  </si>
  <si>
    <t>ул. Аскольдовцев</t>
  </si>
  <si>
    <t>25 корп. 1</t>
  </si>
  <si>
    <t>25 корп. 2</t>
  </si>
  <si>
    <t>25 корп. 3</t>
  </si>
  <si>
    <t>25 корп. 4</t>
  </si>
  <si>
    <t>35 корп. 1</t>
  </si>
  <si>
    <t>47а</t>
  </si>
  <si>
    <t>ул. Бондарная</t>
  </si>
  <si>
    <t>ул. Виктора Миронова</t>
  </si>
  <si>
    <t>ул. Вице-адмирала Николаева</t>
  </si>
  <si>
    <t>ул. Воровского</t>
  </si>
  <si>
    <t>ул. Юрия Гагарина</t>
  </si>
  <si>
    <t>ул. Генерала Журбы</t>
  </si>
  <si>
    <t>ул. Героев Рыбачьего</t>
  </si>
  <si>
    <t>ул. Героев Рыбачьего*</t>
  </si>
  <si>
    <t>установка/замена водоподогревателя</t>
  </si>
  <si>
    <t>пр. Героев-североморцев</t>
  </si>
  <si>
    <t>5 корп. 1</t>
  </si>
  <si>
    <t>7 корп. 1</t>
  </si>
  <si>
    <t>7 корп. 2</t>
  </si>
  <si>
    <t>9 корп. 1</t>
  </si>
  <si>
    <t>11 корп. 1</t>
  </si>
  <si>
    <t>15 корп. 1</t>
  </si>
  <si>
    <t>15 корп. 2</t>
  </si>
  <si>
    <t>17 корп. 2</t>
  </si>
  <si>
    <t>76 корп. 1</t>
  </si>
  <si>
    <t>78 корп. 1</t>
  </si>
  <si>
    <t>78 корп. 2</t>
  </si>
  <si>
    <t>78 корп. 4</t>
  </si>
  <si>
    <t>ул. Зои Космодемьянской</t>
  </si>
  <si>
    <t>ул. Инженерная</t>
  </si>
  <si>
    <t>ул. Капитана Буркова</t>
  </si>
  <si>
    <t>ул. Карла Маркса</t>
  </si>
  <si>
    <t>ремонт системы газоснабжения</t>
  </si>
  <si>
    <t>7а</t>
  </si>
  <si>
    <t>пр. Кирова</t>
  </si>
  <si>
    <t>23 корп. 2</t>
  </si>
  <si>
    <t>пр. Кольский</t>
  </si>
  <si>
    <t>108 корп. 1</t>
  </si>
  <si>
    <t>108 корп. 2</t>
  </si>
  <si>
    <t>108 корп. 3</t>
  </si>
  <si>
    <t>150 корп. 4</t>
  </si>
  <si>
    <t>150 корп. 5</t>
  </si>
  <si>
    <t>174 корп. 5</t>
  </si>
  <si>
    <t>176 корп. 3</t>
  </si>
  <si>
    <t>ул. Крупской</t>
  </si>
  <si>
    <t>ул. Коминтерна*</t>
  </si>
  <si>
    <t>ул. Комсомольская</t>
  </si>
  <si>
    <t>пр-д Ледокольный</t>
  </si>
  <si>
    <t>пр-д Ледокольный*</t>
  </si>
  <si>
    <t>пр. Ленина</t>
  </si>
  <si>
    <t xml:space="preserve"> 62/11</t>
  </si>
  <si>
    <t>ремонт подвала</t>
  </si>
  <si>
    <t>ул. Маяковского</t>
  </si>
  <si>
    <t>пр-д Михаила Бабикова</t>
  </si>
  <si>
    <t>ул. Октябрьская</t>
  </si>
  <si>
    <t>ул. Олега Кошевого</t>
  </si>
  <si>
    <t>6 корп. 1</t>
  </si>
  <si>
    <t>6 корп. 2</t>
  </si>
  <si>
    <t>ул. Павлика Морозова</t>
  </si>
  <si>
    <t>5 корп. 3</t>
  </si>
  <si>
    <t>ул. Папанина</t>
  </si>
  <si>
    <t>ул. Пищевиков</t>
  </si>
  <si>
    <t>ул. Подстаницкого</t>
  </si>
  <si>
    <t>20а</t>
  </si>
  <si>
    <t>ул. Полярные Зори*</t>
  </si>
  <si>
    <t>ул. Полярные Зори</t>
  </si>
  <si>
    <t>17 корп. 3</t>
  </si>
  <si>
    <t>41/2</t>
  </si>
  <si>
    <t>49 корп. 4</t>
  </si>
  <si>
    <t>49 корп. 5</t>
  </si>
  <si>
    <t>пр-д Рыбный</t>
  </si>
  <si>
    <t>ул. Саши Ковалева</t>
  </si>
  <si>
    <t>ул. Сафонова</t>
  </si>
  <si>
    <t>ул. Сафонова*</t>
  </si>
  <si>
    <t>ул. Свердлова</t>
  </si>
  <si>
    <t>6 корп. 3</t>
  </si>
  <si>
    <t>14 корп. 3</t>
  </si>
  <si>
    <t>40 корп. 1</t>
  </si>
  <si>
    <t>40 корп. 2</t>
  </si>
  <si>
    <t>40 корп. 3</t>
  </si>
  <si>
    <t>40 корп. 4</t>
  </si>
  <si>
    <t>40 корп. 5</t>
  </si>
  <si>
    <t xml:space="preserve">б-р Театральный </t>
  </si>
  <si>
    <t>пер. Терский</t>
  </si>
  <si>
    <t>ремонт подвальных помещений</t>
  </si>
  <si>
    <t>ул. Трудовых Резервов</t>
  </si>
  <si>
    <t>ул. Ушакова</t>
  </si>
  <si>
    <t>5 корп. 2</t>
  </si>
  <si>
    <t>пр-д Флотский</t>
  </si>
  <si>
    <t>ул. Фрунзе</t>
  </si>
  <si>
    <t>21/4</t>
  </si>
  <si>
    <t>ул. Челюскинцев</t>
  </si>
  <si>
    <t>18/20</t>
  </si>
  <si>
    <t>ул. Чумбарова-Лучинского</t>
  </si>
  <si>
    <t>32 корп. 1</t>
  </si>
  <si>
    <t>32 корп. 2</t>
  </si>
  <si>
    <t>32 корп. 3</t>
  </si>
  <si>
    <t>46 корп. 1</t>
  </si>
  <si>
    <t>ул. Шевченко</t>
  </si>
  <si>
    <t>1а</t>
  </si>
  <si>
    <t>ул. Шмидта</t>
  </si>
  <si>
    <t>установка водоподогревателя</t>
  </si>
  <si>
    <t>ул. Генерала Щербакова</t>
  </si>
  <si>
    <t>пер. Якорный</t>
  </si>
  <si>
    <t>Условное обозначение:</t>
  </si>
  <si>
    <t>Приложение</t>
  </si>
  <si>
    <t xml:space="preserve"> Приложение</t>
  </si>
  <si>
    <t>Адрес</t>
  </si>
  <si>
    <t>ТС (ИТП)                                     (руб.)</t>
  </si>
  <si>
    <t xml:space="preserve">Лифтовое оборудование                        (руб.) </t>
  </si>
  <si>
    <t>К (руб.)</t>
  </si>
  <si>
    <t>П (руб.)</t>
  </si>
  <si>
    <t>Ф (руб.)</t>
  </si>
  <si>
    <t>РФ (руб.)</t>
  </si>
  <si>
    <t>Разработка проектной документации            (руб.)</t>
  </si>
  <si>
    <t>Всего:                           (руб.)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</si>
  <si>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</si>
  <si>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</si>
  <si>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</si>
  <si>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</si>
  <si>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</si>
  <si>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</si>
  <si>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</si>
  <si>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</si>
  <si>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</si>
  <si>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</si>
  <si>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</si>
  <si>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</si>
  <si>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корпус 1</t>
  </si>
  <si>
    <t>ул. Александрова, д. 30 корпус 2</t>
  </si>
  <si>
    <t>ул. Александрова, д. 30 корпус 3</t>
  </si>
  <si>
    <t>ул. Александрова, д. 34 корпус 1</t>
  </si>
  <si>
    <t>ул. Александрова, д. 34 корпус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</si>
  <si>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</si>
  <si>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</si>
  <si>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</si>
  <si>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</si>
  <si>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</si>
  <si>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</si>
  <si>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</si>
  <si>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</si>
  <si>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пер. Арктический, д 4</t>
  </si>
  <si>
    <t>ул. Аскольдовцев, д. 12</t>
  </si>
  <si>
    <t>ул. Аскольдовцев, д. 25</t>
  </si>
  <si>
    <t>ул. Аскольдовцев, д. 25 корпус 1</t>
  </si>
  <si>
    <t>ул. Аскольдовцев, д. 25 корпус 2</t>
  </si>
  <si>
    <t>ул. Аскольдовцев, д. 25 корпус 3</t>
  </si>
  <si>
    <t>ул. Аскольдовцев, д. 25 корпус 4</t>
  </si>
  <si>
    <t>ул. Аскольдовцев, д. 27</t>
  </si>
  <si>
    <t>ул. Аскольдовцев, д. 29</t>
  </si>
  <si>
    <t>ул. Аскольдовцев, д. 31</t>
  </si>
  <si>
    <t>ул. Аскольдовцев, д. 33</t>
  </si>
  <si>
    <t xml:space="preserve">ул. Аскольдовцев, д. 35 </t>
  </si>
  <si>
    <t>ул. Аскольдовцев, д. 35 корпус 1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</si>
  <si>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</si>
  <si>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</si>
  <si>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</si>
  <si>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</si>
  <si>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</si>
  <si>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</si>
  <si>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ул. Бондарная, д. 1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</si>
  <si>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</si>
  <si>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</si>
  <si>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</si>
  <si>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</si>
  <si>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</si>
  <si>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</si>
  <si>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</si>
  <si>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Воровского, д. 11</t>
  </si>
  <si>
    <t>ул. Воровского, д. 13</t>
  </si>
  <si>
    <t>ул. Гагарина, д. 33</t>
  </si>
  <si>
    <t>ул. Героев Рыбачьего, д. 3, п. 1, 2</t>
  </si>
  <si>
    <t>ул. Героев Рыбачьего, д. 34, п. 1, 2</t>
  </si>
  <si>
    <t>пр. Героев-североморцев, д. 5 корпус 1</t>
  </si>
  <si>
    <t>пр. Героев-североморцев, д. 7 корпус 1</t>
  </si>
  <si>
    <t>пр. Героев-североморцев, д. 7 корпус 2</t>
  </si>
  <si>
    <t>пр. Героев-североморцев, д. 9 корпус 1</t>
  </si>
  <si>
    <t>пр. Героев-североморцев, д. 9 корпус 2</t>
  </si>
  <si>
    <t>пр. Героев-североморцев, д. 11 корпус 1</t>
  </si>
  <si>
    <t>пр. Героев-североморцев, д. 11 корпус 2</t>
  </si>
  <si>
    <t>пр. Героев-североморцев, д. 13</t>
  </si>
  <si>
    <t>пр. Героев-североморцев, д. 15 корпус 1</t>
  </si>
  <si>
    <t>пр. Героев-североморцев, д. 15 корпус 2</t>
  </si>
  <si>
    <t>пр. Героев-североморцев, д. 17 корпус 2</t>
  </si>
  <si>
    <t>пр. Героев-североморцев, д. 19</t>
  </si>
  <si>
    <t>пр. Героев-североморцев, д. 72</t>
  </si>
  <si>
    <t>пр. Героев-североморцев, д. 76 корпус 1</t>
  </si>
  <si>
    <t>пр. Героев-североморцев, д. 78 корп. 1</t>
  </si>
  <si>
    <t>ул. Зои Космодемьянской, д. 1, п. 1</t>
  </si>
  <si>
    <t>ул. Зои Космодемьянской, д. 7, п. 1, 2</t>
  </si>
  <si>
    <t>ул. Зои Космодемьянской, д. 11, п. 1, 2, 3, 4</t>
  </si>
  <si>
    <t>ул. Зои Космодемьянской, д. 19, п. 1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</si>
  <si>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</si>
  <si>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</si>
  <si>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</si>
  <si>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</si>
  <si>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</si>
  <si>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</si>
  <si>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</si>
  <si>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</si>
  <si>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</si>
  <si>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</si>
  <si>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Инженерная, д. 1</t>
  </si>
  <si>
    <t>ул. Инженерная, д. 8</t>
  </si>
  <si>
    <t>ул. Инженерная, д. 10</t>
  </si>
  <si>
    <t>пр. Кирова, д. 23 корп. 2, п. 1, 2, 3</t>
  </si>
  <si>
    <t>пр. Кольский, д. 102, п. 1, 2, 3, 4</t>
  </si>
  <si>
    <t>пр. Кольский, д. 108 корп. 1, п. 1</t>
  </si>
  <si>
    <t>пр. Кольский, д. 108 корп. 2, п. 1</t>
  </si>
  <si>
    <t>пр. Кольский, д. 108 корп. 3, п. 1, 2</t>
  </si>
  <si>
    <t>пр. Кольский, д. 150 корп. 4, п. 1</t>
  </si>
  <si>
    <t>пр. Кольский, д. 150 корп. 5, п. 1, 2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</si>
  <si>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</si>
  <si>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</si>
  <si>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</si>
  <si>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</si>
  <si>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</si>
  <si>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пр. Кольский, д. 176 корп. 3, п. 1, 2</t>
  </si>
  <si>
    <t>пр. Кольский, д. 210, п. 1</t>
  </si>
  <si>
    <t>пр. Кольский, д. 212, п. 1</t>
  </si>
  <si>
    <t>ул. Крупской, д. 2, п. 1, 2</t>
  </si>
  <si>
    <t>пр-д Ледокольный, д. 1, п. 1, 2</t>
  </si>
  <si>
    <t>пр-д Ледокольный, д. 9, п. 1, 2, 3, 4, 5, 6</t>
  </si>
  <si>
    <t>пр. Ленина, д. 45</t>
  </si>
  <si>
    <t xml:space="preserve">пр. Ленина, д. 51 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</si>
  <si>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</si>
  <si>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</si>
  <si>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</si>
  <si>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</si>
  <si>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</si>
  <si>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</si>
  <si>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67</t>
  </si>
  <si>
    <t>пр. Ленина, д. 74</t>
  </si>
  <si>
    <t>пр. Ленина, д. 76</t>
  </si>
  <si>
    <t>пр. Ленина, д. 77</t>
  </si>
  <si>
    <t>пр. Ленина, д. 80</t>
  </si>
  <si>
    <t>ул. Маяковского, д. 1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</si>
  <si>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</si>
  <si>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</si>
  <si>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</si>
  <si>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</si>
  <si>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</si>
  <si>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 Павлика Морозова, д. 5 корпус 3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</si>
  <si>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</si>
  <si>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</si>
  <si>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</si>
  <si>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Саши Ковалева, д. 10</t>
  </si>
  <si>
    <t>ул. Саши Ковалева, д. 14</t>
  </si>
  <si>
    <t>ул. Саши Ковалева, д. 20</t>
  </si>
  <si>
    <t>ул. Свердлова, д. 40 корпус 1</t>
  </si>
  <si>
    <t>ул. Свердлова, д. 40 корпус 2</t>
  </si>
  <si>
    <t>ул. Свердлова, д. 40 корпус 3</t>
  </si>
  <si>
    <t>ул. Свердлова, д. 40 корпус 4</t>
  </si>
  <si>
    <t>ул. Свердлова, д. 40 корпус 5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</si>
  <si>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</si>
  <si>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</si>
  <si>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</si>
  <si>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</si>
  <si>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</si>
  <si>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</si>
  <si>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Ушакова, д. 5 корпус 2</t>
  </si>
  <si>
    <t>ул. Чумбарова-Лучинского, д. 5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</si>
  <si>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</si>
  <si>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</si>
  <si>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</si>
  <si>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</si>
  <si>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</si>
  <si>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</si>
  <si>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</si>
  <si>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</si>
  <si>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</si>
  <si>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</si>
  <si>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24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</si>
  <si>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</si>
  <si>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</si>
  <si>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</si>
  <si>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32 корпус 1</t>
  </si>
  <si>
    <t>ул. Чумбарова-Лучинского, д. 32 корпус 2</t>
  </si>
  <si>
    <t>ул. Чумбарова-Лучинского, д. 32 корпус 3</t>
  </si>
  <si>
    <t>ул. Чумбарова-Лучинского, д. 33</t>
  </si>
  <si>
    <t>ул. Чумбарова-Лучинского, д. 40 корпус 1</t>
  </si>
  <si>
    <t>ул. Чумбарова-Лучинского, д. 40 корпус 2</t>
  </si>
  <si>
    <t>ул. Чумбарова-Лучинского, д. 40 корпус 3</t>
  </si>
  <si>
    <t>ул. Щербакова, д. 16, п. 1, 2, 3, 4</t>
  </si>
  <si>
    <t>ул. Щербакова, д. 30, п. 1, 2</t>
  </si>
  <si>
    <t>ул. Щербакова, д. 32, п. 1</t>
  </si>
  <si>
    <t>ул. Щербакова, д. 34, п. 1, 2, 3, 4, 5, 6</t>
  </si>
  <si>
    <t>ул. Юрия Гагарина, д. 27</t>
  </si>
  <si>
    <t>ул. Юрия Гагарина, д. 29</t>
  </si>
  <si>
    <t>ул. Юрия Гагарина, д. 31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</si>
  <si>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</si>
  <si>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</si>
  <si>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</si>
  <si>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</si>
  <si>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</si>
  <si>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r>
      <rPr>
        <sz val="16.5"/>
        <rFont val="Times New Roman"/>
        <family val="1"/>
        <charset val="204"/>
      </rPr>
      <t xml:space="preserve">ПАГМ включ </t>
    </r>
    <r>
      <rPr>
        <sz val="16.5"/>
        <color rgb="FFFF0000"/>
        <rFont val="Times New Roman"/>
        <family val="1"/>
        <charset val="204"/>
      </rPr>
      <t>в КРПЛ</t>
    </r>
  </si>
  <si>
    <t>уведомление ФКР</t>
  </si>
  <si>
    <r>
      <rPr>
        <sz val="16.5"/>
        <rFont val="Times New Roman"/>
        <family val="1"/>
        <charset val="204"/>
      </rPr>
      <t>ПАГМ</t>
    </r>
    <r>
      <rPr>
        <sz val="16.5"/>
        <color rgb="FFFF0000"/>
        <rFont val="Times New Roman"/>
        <family val="1"/>
        <charset val="204"/>
      </rPr>
      <t xml:space="preserve"> о принятии решения</t>
    </r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</si>
  <si>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</si>
  <si>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</si>
  <si>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</si>
  <si>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</si>
  <si>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</si>
  <si>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</si>
  <si>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</si>
  <si>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</si>
  <si>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</si>
  <si>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</si>
  <si>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</si>
  <si>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</si>
  <si>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</si>
  <si>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</si>
  <si>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</si>
  <si>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</si>
  <si>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</si>
  <si>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 / заемных средств (руб.) </t>
  </si>
  <si>
    <t>ул. Академика Павлова, д. 2</t>
  </si>
  <si>
    <t>изменения ПАГМ от 16.11.2021 № 2916</t>
  </si>
  <si>
    <r>
      <rPr>
        <u/>
        <sz val="16.5"/>
        <rFont val="Times New Roman"/>
        <family val="1"/>
        <charset val="204"/>
      </rPr>
      <t>от 21.12.2021 № 3307</t>
    </r>
    <r>
      <rPr>
        <sz val="16.5"/>
        <rFont val="Times New Roman"/>
        <family val="1"/>
        <charset val="204"/>
      </rPr>
      <t>; НФУ 8212 от 05.10.2021: ОСС от 25.07.2019 о КР ВДИС в 2020 году (в КРПЛ</t>
    </r>
    <r>
      <rPr>
        <u/>
        <sz val="16.5"/>
        <rFont val="Times New Roman"/>
        <family val="1"/>
        <charset val="204"/>
      </rPr>
      <t xml:space="preserve"> крыша)</t>
    </r>
  </si>
  <si>
    <t>*</t>
  </si>
  <si>
    <t>УО</t>
  </si>
  <si>
    <t>НКО «ФКР МО»</t>
  </si>
  <si>
    <t>было в КРПЛ до 16.11</t>
  </si>
  <si>
    <t>ул. Академика Павлова, д. 28</t>
  </si>
  <si>
    <t xml:space="preserve"> ФКР вх 08.10.2021 № 8348 (предл.направлены, но решения ОСС нет)</t>
  </si>
  <si>
    <t>от 19.10.2021 № 2634</t>
  </si>
  <si>
    <t>ОО</t>
  </si>
  <si>
    <t>ул. Академика Павлова, д. 59</t>
  </si>
  <si>
    <r>
      <rPr>
        <sz val="16.5"/>
        <rFont val="Times New Roman"/>
        <family val="1"/>
        <charset val="204"/>
      </rPr>
      <t xml:space="preserve"> НФУ 8212 от 05.10.2021: ОСС от 25.02.2021 о КР</t>
    </r>
    <r>
      <rPr>
        <sz val="16.5"/>
        <color rgb="FFFF0000"/>
        <rFont val="Times New Roman"/>
        <family val="1"/>
        <charset val="204"/>
      </rPr>
      <t xml:space="preserve"> ВДИС</t>
    </r>
    <r>
      <rPr>
        <sz val="16.5"/>
        <rFont val="Times New Roman"/>
        <family val="1"/>
        <charset val="204"/>
      </rPr>
      <t xml:space="preserve"> в 2022 (</t>
    </r>
    <r>
      <rPr>
        <sz val="16.5"/>
        <color rgb="FFFF0000"/>
        <rFont val="Times New Roman"/>
        <family val="1"/>
        <charset val="204"/>
      </rPr>
      <t xml:space="preserve">а в КРПЛ </t>
    </r>
    <r>
      <rPr>
        <u/>
        <sz val="16.5"/>
        <color rgb="FFFF0000"/>
        <rFont val="Times New Roman"/>
        <family val="1"/>
        <charset val="204"/>
      </rPr>
      <t>фундамент</t>
    </r>
    <r>
      <rPr>
        <sz val="16.5"/>
        <color rgb="FFFF0000"/>
        <rFont val="Times New Roman"/>
        <family val="1"/>
        <charset val="204"/>
      </rPr>
      <t>)</t>
    </r>
  </si>
  <si>
    <t xml:space="preserve"> </t>
  </si>
  <si>
    <t>ул. Алексея Хлобыстова, д. 20 корп. 2</t>
  </si>
  <si>
    <t>от 21.12.2021 № 3307</t>
  </si>
  <si>
    <t xml:space="preserve">ул. Алексея Хлобыстова, д. 28 корп. 2 </t>
  </si>
  <si>
    <t>ОСС</t>
  </si>
  <si>
    <t xml:space="preserve"> ФКР вх 08.10.2021 № 8348</t>
  </si>
  <si>
    <r>
      <rPr>
        <sz val="16.5"/>
        <rFont val="Times New Roman"/>
        <family val="1"/>
        <charset val="204"/>
      </rPr>
      <t xml:space="preserve">ФКР: </t>
    </r>
    <r>
      <rPr>
        <b/>
        <u/>
        <sz val="16.5"/>
        <rFont val="Times New Roman"/>
        <family val="1"/>
        <charset val="204"/>
      </rPr>
      <t>ОСС от 26.07.2021 о КР крыши (вх 08.10.2021 № 8348)</t>
    </r>
  </si>
  <si>
    <t>от 25.01.2022 № 142</t>
  </si>
  <si>
    <t>Контроль (вкл, но ФКР разослал предложения, могут быть решения) включить в запрос апреля</t>
  </si>
  <si>
    <t>от 04.03.2022 № 537</t>
  </si>
  <si>
    <t>1967</t>
  </si>
  <si>
    <t>Минстрой от 17.01.2022 07-02/132-АГ</t>
  </si>
  <si>
    <t>3940,0</t>
  </si>
  <si>
    <t>Минстрой от 17.01.2022 № 07-02/132-АГ</t>
  </si>
  <si>
    <t>1970</t>
  </si>
  <si>
    <t>146</t>
  </si>
  <si>
    <t>1966</t>
  </si>
  <si>
    <t>130</t>
  </si>
  <si>
    <t>1971</t>
  </si>
  <si>
    <t>Минстрой от 13.01.2021 № 07-02/67-АГ</t>
  </si>
  <si>
    <t>+</t>
  </si>
  <si>
    <t>от 04.04.2022 № 831</t>
  </si>
  <si>
    <t>контроль</t>
  </si>
  <si>
    <t>Минстрой от 31.03.2022 № 07-02/1192-ИВ, прткл от 30.03.2022 № 192</t>
  </si>
  <si>
    <t>ул. Аскольдовцев, д. 19</t>
  </si>
  <si>
    <r>
      <rPr>
        <sz val="16.5"/>
        <rFont val="Times New Roman"/>
        <family val="1"/>
        <charset val="204"/>
      </rPr>
      <t xml:space="preserve"> от 21.12.2021 № 3307; НФУ 8212 от 05.10.2021: ОСС от 23.05.2021 решение о КР в 2021 году - </t>
    </r>
    <r>
      <rPr>
        <u/>
        <sz val="16.5"/>
        <rFont val="Times New Roman"/>
        <family val="1"/>
        <charset val="204"/>
      </rPr>
      <t>НЕ ПРИНЯТО</t>
    </r>
  </si>
  <si>
    <t>2. ИТП от 25.01.2022 № 142</t>
  </si>
  <si>
    <t>1. от 21.12.2021 № 3307 2. от 04.03.2022 № 537 (ИТП)</t>
  </si>
  <si>
    <t>в части ИТП Минстрой от 17.01.2022 № 07-02/132-АГ</t>
  </si>
  <si>
    <t>301</t>
  </si>
  <si>
    <t>1963</t>
  </si>
  <si>
    <t>1986</t>
  </si>
  <si>
    <t>135</t>
  </si>
  <si>
    <t>159</t>
  </si>
  <si>
    <t>1968</t>
  </si>
  <si>
    <t>1973</t>
  </si>
  <si>
    <t>1983</t>
  </si>
  <si>
    <t>112</t>
  </si>
  <si>
    <r>
      <rPr>
        <sz val="25"/>
        <rFont val="Times New Roman"/>
        <family val="1"/>
        <charset val="204"/>
      </rPr>
      <t xml:space="preserve">ул. Воровского, д. 11 </t>
    </r>
    <r>
      <rPr>
        <sz val="25"/>
        <color rgb="FF00B050"/>
        <rFont val="Times New Roman"/>
        <family val="1"/>
        <charset val="204"/>
      </rPr>
      <t>(истор.тропа/турмаршр)</t>
    </r>
  </si>
  <si>
    <t>от 28.02.2022 № 472</t>
  </si>
  <si>
    <t>необх включить в запрос о направл Предложений (апрель)</t>
  </si>
  <si>
    <t>ОКН</t>
  </si>
  <si>
    <t>Минстрой от 28.02.2022 № 07-02/656-АГ (исторТропа)</t>
  </si>
  <si>
    <r>
      <rPr>
        <sz val="25"/>
        <rFont val="Times New Roman"/>
        <family val="1"/>
        <charset val="204"/>
      </rPr>
      <t xml:space="preserve">ул. Воровского, д. 13 </t>
    </r>
    <r>
      <rPr>
        <sz val="25"/>
        <color rgb="FF00B050"/>
        <rFont val="Times New Roman"/>
        <family val="1"/>
        <charset val="204"/>
      </rPr>
      <t>(истор.тропа/турмаршр)</t>
    </r>
  </si>
  <si>
    <t>ул. Юрия Гагарина, д. 33</t>
  </si>
  <si>
    <t>ул. Генерала Журбы, д. 10</t>
  </si>
  <si>
    <t>изм. ПАГМ от 04.04.2022 № 831; изм ПАГМ от 16.11.2021 № 2916</t>
  </si>
  <si>
    <r>
      <rPr>
        <sz val="16.5"/>
        <color rgb="FFFFC000"/>
        <rFont val="Times New Roman"/>
        <family val="1"/>
        <charset val="204"/>
      </rPr>
      <t xml:space="preserve">внести изм. Исключить ХВС, ГВС; </t>
    </r>
    <r>
      <rPr>
        <sz val="16.5"/>
        <rFont val="Times New Roman"/>
        <family val="1"/>
        <charset val="204"/>
      </rPr>
      <t>от 19.10.2021 № 2634</t>
    </r>
  </si>
  <si>
    <t xml:space="preserve">5378,6
</t>
  </si>
  <si>
    <t>ТСН</t>
  </si>
  <si>
    <t>ХВС, ГВС искл (осн. ФКР от 15.03.2022 № 05/20/2203151895, акт НКО «ФКР МО» об отказе в предоставлении доступа 09.03.2022)</t>
  </si>
  <si>
    <t>Спец. счет</t>
  </si>
  <si>
    <t>3891,9</t>
  </si>
  <si>
    <t>195</t>
  </si>
  <si>
    <t>270</t>
  </si>
  <si>
    <t>541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</si>
  <si>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</si>
  <si>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</si>
  <si>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</si>
  <si>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</si>
  <si>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от 25.01.2022 № 142; изм кол-ва и ст-ти от 02.03.2022 № 522</t>
  </si>
  <si>
    <t>необх обратить внимание на изм стоимости, первонач. Запрос был на другую сумму</t>
  </si>
  <si>
    <t>1. Минстрой от 13.01.2021 № 07-02/67-АГ 2. изменение кол-ва и стоимости Минстрой от 28.02.2022 № 07-02/711-АГ</t>
  </si>
  <si>
    <t>ул. Коминтерна, д. 11, корп. 2</t>
  </si>
  <si>
    <r>
      <rPr>
        <sz val="16.5"/>
        <rFont val="Times New Roman"/>
        <family val="1"/>
        <charset val="204"/>
      </rPr>
      <t xml:space="preserve">изменения ПАГМ от 02.12.2021 № </t>
    </r>
    <r>
      <rPr>
        <sz val="16.5"/>
        <color rgb="FF7030A0"/>
        <rFont val="Times New Roman"/>
        <family val="1"/>
        <charset val="204"/>
      </rPr>
      <t>3108</t>
    </r>
  </si>
  <si>
    <t>ул. Комсомольская, д. 3</t>
  </si>
  <si>
    <t xml:space="preserve">4378,6
</t>
  </si>
  <si>
    <t>пр. Ленина, д. 9</t>
  </si>
  <si>
    <r>
      <rPr>
        <sz val="16.5"/>
        <rFont val="Times New Roman"/>
        <family val="1"/>
        <charset val="204"/>
      </rPr>
      <t xml:space="preserve">ФКР: </t>
    </r>
    <r>
      <rPr>
        <b/>
        <u/>
        <sz val="16.5"/>
        <rFont val="Times New Roman"/>
        <family val="1"/>
        <charset val="204"/>
      </rPr>
      <t>ОСС вх 08.10.2021 № 8348</t>
    </r>
  </si>
  <si>
    <t xml:space="preserve">571,7
</t>
  </si>
  <si>
    <t>пр. Ленина, д. 29</t>
  </si>
  <si>
    <t>ФКР вх 08.10.2021 № 8348 (предл.направлены, но решения ОСС нет)</t>
  </si>
  <si>
    <r>
      <rPr>
        <sz val="25"/>
        <rFont val="Times New Roman"/>
        <family val="1"/>
        <charset val="204"/>
      </rPr>
      <t xml:space="preserve">пр. Ленина, д. 45 </t>
    </r>
    <r>
      <rPr>
        <sz val="25"/>
        <color rgb="FF00B050"/>
        <rFont val="Times New Roman"/>
        <family val="1"/>
        <charset val="204"/>
      </rPr>
      <t>(истор.тропа/турмаршр)</t>
    </r>
  </si>
  <si>
    <t>иземения ПАГМ от 28.02.2022 № 472</t>
  </si>
  <si>
    <r>
      <rPr>
        <sz val="25"/>
        <rFont val="Times New Roman"/>
        <family val="1"/>
        <charset val="204"/>
      </rPr>
      <t xml:space="preserve">пр. Ленина, д. 51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</si>
  <si>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t>Спец. счет (НКО «ФКР МО»)</t>
  </si>
  <si>
    <r>
      <rPr>
        <sz val="25"/>
        <rFont val="Times New Roman"/>
        <family val="1"/>
        <charset val="204"/>
      </rPr>
      <t xml:space="preserve">пр. Ленина, д. 53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</si>
  <si>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60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</si>
  <si>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61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</si>
  <si>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62/11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</si>
  <si>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63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</si>
  <si>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t>пр. Ленина, д. 65 (истор.тропа/турмаршрут)</t>
  </si>
  <si>
    <r>
      <rPr>
        <sz val="25"/>
        <rFont val="Times New Roman"/>
        <family val="1"/>
        <charset val="204"/>
      </rPr>
      <t xml:space="preserve">пр. Ленина, д. 67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</si>
  <si>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74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</si>
  <si>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76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</si>
  <si>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r>
      <rPr>
        <sz val="25"/>
        <rFont val="Times New Roman"/>
        <family val="1"/>
        <charset val="204"/>
      </rPr>
      <t xml:space="preserve">пр. Ленина, д. 77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</si>
  <si>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t>ТСЖ</t>
  </si>
  <si>
    <r>
      <rPr>
        <sz val="25"/>
        <rFont val="Times New Roman"/>
        <family val="1"/>
        <charset val="204"/>
      </rPr>
      <t xml:space="preserve">пр. Ленина, д. 80 </t>
    </r>
    <r>
      <rPr>
        <sz val="25"/>
        <color rgb="FF00B050"/>
        <rFont val="Times New Roman"/>
        <family val="1"/>
        <charset val="204"/>
      </rPr>
      <t>(истор.тропа/турмаршрут)</t>
    </r>
  </si>
  <si>
    <t>1. изм. ПАГМ от 28.02.2022 № 472; 2. изм. ПАГМ от 04.04.2022 № 831</t>
  </si>
  <si>
    <t>1.Минстрой от 28.02.2022 № 07-02/656-АГ (исторТропа) 2. изм ст-ти фас и вкл подвала Минстрой от 31.03.2022 № 07-02/1192-ИВ (прткл. 30.03.2022 № 193)</t>
  </si>
  <si>
    <t>изм. Ст-ти Минстрой от 31.03.2022 № 07-02/1192-ИВ</t>
  </si>
  <si>
    <t>9</t>
  </si>
  <si>
    <t>2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</si>
  <si>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</si>
  <si>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</si>
  <si>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</si>
  <si>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</si>
  <si>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</si>
  <si>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</si>
  <si>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r>
      <rPr>
        <sz val="16.5"/>
        <rFont val="Times New Roman"/>
        <family val="1"/>
        <charset val="204"/>
      </rPr>
      <t>ПАГМ от 19.10.2021 № 2634; НФУ 8212 от 05.10.2021 ОСС от 28.03.2019 решение о КР</t>
    </r>
    <r>
      <rPr>
        <u/>
        <sz val="16.5"/>
        <rFont val="Times New Roman"/>
        <family val="1"/>
        <charset val="204"/>
      </rPr>
      <t xml:space="preserve"> крыши</t>
    </r>
    <r>
      <rPr>
        <sz val="16.5"/>
        <rFont val="Times New Roman"/>
        <family val="1"/>
        <charset val="204"/>
      </rPr>
      <t xml:space="preserve"> и фсада в 2020 году</t>
    </r>
  </si>
  <si>
    <t>ул. Октябрьская, д. 32</t>
  </si>
  <si>
    <t>ул. Октябрьская, д. 36</t>
  </si>
  <si>
    <t xml:space="preserve"> ФКР вх 08.10.2021 № 8348 (предл.направлены, но решения ОСС нет)  </t>
  </si>
  <si>
    <t xml:space="preserve">4118,5
</t>
  </si>
  <si>
    <t>ул. Олега Кошевого, д. 6 корп. 1</t>
  </si>
  <si>
    <t>ул. Олега Кошевого, д. 6 корп. 2</t>
  </si>
  <si>
    <t>от 21.12.2021 № 3307 (изм ст-ти); от 19.10.2021 № 2634</t>
  </si>
  <si>
    <t>П,Ф,РФ (2022-2022)</t>
  </si>
  <si>
    <t xml:space="preserve"> К (2022-2023)</t>
  </si>
  <si>
    <t>Павлика Морозова, д. 5 корп. 3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</si>
  <si>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</si>
  <si>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</si>
  <si>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</si>
  <si>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</si>
  <si>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</si>
  <si>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</si>
  <si>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</si>
  <si>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ФКР вх 08.10.2021 № 8348</t>
  </si>
  <si>
    <r>
      <rPr>
        <sz val="16.5"/>
        <rFont val="Times New Roman"/>
        <family val="1"/>
        <charset val="204"/>
      </rPr>
      <t xml:space="preserve">ОСС нет, </t>
    </r>
    <r>
      <rPr>
        <b/>
        <sz val="16.5"/>
        <color rgb="FFFF0000"/>
        <rFont val="Times New Roman"/>
        <family val="1"/>
        <charset val="204"/>
      </rPr>
      <t>СПЕЦСЧЕТ (в ПАГМ не вкл)</t>
    </r>
  </si>
  <si>
    <t>ЖСК</t>
  </si>
  <si>
    <t>пр-д Рыбный, д. 8</t>
  </si>
  <si>
    <t>от 21.12.2021 № 3307; НФУ 8212 от 05.10.2021 ОСС от 10.05.2021 решение об организ работы по перенусу провед. КР крыши и фасада на 2022-2023</t>
  </si>
  <si>
    <t>ул. Сафонова, д. 26</t>
  </si>
  <si>
    <t>от 22.03.2022 № 693</t>
  </si>
  <si>
    <t>Контроль включить в запрос апреля</t>
  </si>
  <si>
    <t>18732841,8 (включая стропильную систему и чердачные перекрытия)</t>
  </si>
  <si>
    <t>решением Арбитражного суда Мурманской области от 25.02.2021 по делу № А42-6001/2020</t>
  </si>
  <si>
    <t>ул. Сафонова, д. 47</t>
  </si>
  <si>
    <r>
      <rPr>
        <sz val="16.5"/>
        <rFont val="Times New Roman"/>
        <family val="1"/>
        <charset val="204"/>
      </rPr>
      <t xml:space="preserve">от 21.12.2021 № 3307; ООО Льян-Сервис (767 от 07.10.2021: </t>
    </r>
    <r>
      <rPr>
        <b/>
        <sz val="16.5"/>
        <rFont val="Times New Roman"/>
        <family val="1"/>
        <charset val="204"/>
      </rPr>
      <t>ОСС от 20.08.2021 решение о проведении КР крыши</t>
    </r>
  </si>
  <si>
    <t>ВДП (2021-2022)</t>
  </si>
  <si>
    <t>1215410,51 в 2021 году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</si>
  <si>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</si>
  <si>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</si>
  <si>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</si>
  <si>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</si>
  <si>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 xml:space="preserve">ПАГМ от 19.10.2021 № 2634; НФУ 8212 от 05.10.2021 ОСС от 12.10.2020 решение о КР крыши и ВИС в 2021 году (51% голосов) </t>
  </si>
  <si>
    <t>ул. Свердлова, д. 54</t>
  </si>
  <si>
    <t>Л. Минстрой от 13.01.2021 № 07-02/67-АГ ИТП от 17.01.2022 № 07-02/132-АГ</t>
  </si>
  <si>
    <t>б-р Театральный, д. 6</t>
  </si>
  <si>
    <t>пер. Терский, д. 9</t>
  </si>
  <si>
    <t>ул. Трудовых Резервов, д. 6</t>
  </si>
  <si>
    <t>1985</t>
  </si>
  <si>
    <t>пр-д Флотский, д. 1</t>
  </si>
  <si>
    <t>пр-д Флотский, д. 3</t>
  </si>
  <si>
    <t>ул. Фрунзе, д. 19</t>
  </si>
  <si>
    <t>ул. Фрунзе, д. 21/4</t>
  </si>
  <si>
    <r>
      <rPr>
        <sz val="16.5"/>
        <rFont val="Times New Roman"/>
        <family val="1"/>
        <charset val="204"/>
      </rPr>
      <t xml:space="preserve">от 04.03.2022 № 537; </t>
    </r>
    <r>
      <rPr>
        <u/>
        <sz val="16.5"/>
        <rFont val="Times New Roman"/>
        <family val="1"/>
        <charset val="204"/>
      </rPr>
      <t>см. инфо в файле ОСС 2020:  есть ОСС, но в решении стоит год завершения 2020 и суммы другие</t>
    </r>
  </si>
  <si>
    <t>ул. Челюскинцев, д. 18/20</t>
  </si>
  <si>
    <t>ул. Челюскинцев, д. 35</t>
  </si>
  <si>
    <r>
      <rPr>
        <sz val="16.5"/>
        <rFont val="Times New Roman"/>
        <family val="1"/>
        <charset val="204"/>
      </rPr>
      <t xml:space="preserve">1. от 25.01.2022 № 142; 2. </t>
    </r>
    <r>
      <rPr>
        <sz val="16.5"/>
        <color rgb="FFCC0000"/>
        <rFont val="Times New Roman"/>
        <family val="1"/>
        <charset val="204"/>
      </rPr>
      <t>изм от 13.04.2022 № 888</t>
    </r>
  </si>
  <si>
    <t>ИТП (2022-2022)</t>
  </si>
  <si>
    <t>К, Ф (2022-2023)</t>
  </si>
  <si>
    <t>1. Минстрой от 17.01.2022 № 07-02/132-АГ 2. изм. Минстрой от 06.04.2022 № 07-02/1277-АГ</t>
  </si>
  <si>
    <t>изм от 13.04.2022 № 888</t>
  </si>
  <si>
    <t>изм. Минстрой от 06.04.2022 № 07-02/1277-АГ</t>
  </si>
  <si>
    <r>
      <rPr>
        <sz val="16.5"/>
        <rFont val="Times New Roman"/>
        <family val="1"/>
        <charset val="204"/>
      </rPr>
      <t xml:space="preserve">1. от 25.01.2022 № 142 2. от </t>
    </r>
    <r>
      <rPr>
        <sz val="16.5"/>
        <color rgb="FFCC0000"/>
        <rFont val="Times New Roman"/>
        <family val="1"/>
        <charset val="204"/>
      </rPr>
      <t xml:space="preserve">13.04.2022 № 888 </t>
    </r>
  </si>
  <si>
    <t>128</t>
  </si>
  <si>
    <r>
      <rPr>
        <sz val="16.5"/>
        <rFont val="Times New Roman"/>
        <family val="1"/>
        <charset val="204"/>
      </rPr>
      <t xml:space="preserve">1 от 25.01.2022 № 142, 2. от </t>
    </r>
    <r>
      <rPr>
        <sz val="16.5"/>
        <color rgb="FFCC0000"/>
        <rFont val="Times New Roman"/>
        <family val="1"/>
        <charset val="204"/>
      </rPr>
      <t xml:space="preserve">13.04.2022 № 888 </t>
    </r>
  </si>
  <si>
    <t xml:space="preserve">1. Минстрой от 17.01.2022 № 07-02/132-АГ 2. изм. Минстрой от 06.04.2022 № 07-02/1277-АГ </t>
  </si>
  <si>
    <t>2713,8</t>
  </si>
  <si>
    <t xml:space="preserve">от 13.04.2022 № 888 </t>
  </si>
  <si>
    <t xml:space="preserve"> изм. Минстрой от 06.04.2022 № 07-02/1277-АГ </t>
  </si>
  <si>
    <t>2735,4</t>
  </si>
  <si>
    <t>2861,5</t>
  </si>
  <si>
    <t>140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</si>
  <si>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</si>
  <si>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</si>
  <si>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</si>
  <si>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</si>
  <si>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</si>
  <si>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</si>
  <si>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r>
      <rPr>
        <b/>
        <sz val="25"/>
        <color rgb="FFFF0000"/>
        <rFont val="Calibri"/>
        <family val="2"/>
        <charset val="204"/>
        <scheme val="minor"/>
      </rPr>
      <t xml:space="preserve">влючены в постановление проведение КР </t>
    </r>
    <r>
      <rPr>
        <b/>
        <i/>
        <u/>
        <sz val="25"/>
        <color rgb="FFFF0000"/>
        <rFont val="Calibri"/>
        <family val="2"/>
        <charset val="204"/>
        <scheme val="minor"/>
      </rPr>
      <t>на 2022 год с поместкой начала работ в 2021</t>
    </r>
    <r>
      <rPr>
        <b/>
        <sz val="25"/>
        <color rgb="FFFF0000"/>
        <rFont val="Calibri"/>
        <family val="2"/>
        <charset val="204"/>
        <scheme val="minor"/>
      </rPr>
      <t xml:space="preserve"> (Ледокольный 17 (в файле ОСС 2021), Героев Рыбачьего 73  (в файле ОСС 2021), Полярные Зори 3, 30, 41/2  (в файле ОСС 2021), карла Маркса 7а -  (в файле ОСС 2021) ВДП; Коминтерна 11/2 - ЭЛ; Сафонова 47 только ВДП) - 8 МКД</t>
    </r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</si>
  <si>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</si>
  <si>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</si>
  <si>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</si>
  <si>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</si>
  <si>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</si>
  <si>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</si>
  <si>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</si>
  <si>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</si>
  <si>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 </t>
  </si>
  <si>
    <t>необходимое оборудование, согласно техническим условиям теплоснабжающей организации;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</si>
  <si>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</si>
  <si>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</si>
  <si>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</si>
  <si>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</si>
  <si>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</si>
  <si>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</si>
  <si>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</si>
  <si>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</si>
  <si>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общего имущества, в том числе на ремонт (замену) лифтового оборудования; проведение экспертизы проектной документации;</t>
  </si>
  <si>
    <t>ЭО – энергетическое обследование.</t>
  </si>
  <si>
    <t>к  постановлению администрации</t>
  </si>
  <si>
    <t>города Мурманска</t>
  </si>
  <si>
    <t xml:space="preserve">               от                №         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</si>
  <si>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</si>
  <si>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Населенный пункт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</si>
  <si>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</si>
  <si>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</si>
  <si>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</si>
  <si>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</si>
  <si>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</si>
  <si>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</si>
  <si>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</si>
  <si>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</si>
  <si>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</si>
  <si>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</si>
  <si>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</si>
  <si>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</si>
  <si>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</si>
  <si>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</si>
  <si>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</si>
  <si>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</si>
  <si>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</si>
  <si>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</si>
  <si>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</si>
  <si>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</si>
  <si>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</si>
  <si>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</si>
  <si>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</si>
  <si>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</si>
  <si>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</si>
  <si>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</si>
  <si>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</si>
  <si>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</si>
  <si>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</si>
  <si>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</si>
  <si>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</si>
  <si>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</si>
  <si>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</si>
  <si>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</si>
  <si>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</si>
  <si>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</si>
  <si>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</si>
  <si>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</si>
  <si>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</si>
  <si>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</si>
  <si>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</si>
  <si>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</si>
  <si>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</si>
  <si>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</si>
  <si>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</si>
  <si>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</si>
  <si>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</si>
  <si>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</si>
  <si>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</si>
  <si>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</si>
  <si>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</si>
  <si>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</si>
  <si>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</si>
  <si>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</si>
  <si>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</si>
  <si>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</si>
  <si>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</si>
  <si>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</si>
  <si>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</si>
  <si>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</si>
  <si>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</si>
  <si>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</si>
  <si>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</si>
  <si>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</si>
  <si>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</si>
  <si>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</si>
  <si>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</si>
  <si>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</si>
  <si>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</si>
  <si>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</si>
  <si>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</si>
  <si>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</si>
  <si>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</si>
  <si>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</si>
  <si>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</si>
  <si>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</si>
  <si>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</si>
  <si>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</si>
  <si>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</si>
  <si>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</si>
  <si>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</si>
  <si>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</si>
  <si>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</si>
  <si>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</si>
  <si>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</si>
  <si>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</si>
  <si>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</si>
  <si>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</si>
  <si>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</si>
  <si>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</si>
  <si>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</si>
  <si>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</si>
  <si>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</si>
  <si>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</si>
  <si>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</si>
  <si>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</si>
  <si>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</si>
  <si>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</si>
  <si>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</si>
  <si>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</si>
  <si>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</si>
  <si>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</si>
  <si>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</si>
  <si>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</si>
  <si>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</si>
  <si>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</si>
  <si>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</si>
  <si>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</si>
  <si>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</si>
  <si>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</si>
  <si>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</si>
  <si>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</si>
  <si>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</si>
  <si>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</si>
  <si>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</si>
  <si>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</si>
  <si>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</si>
  <si>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</si>
  <si>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</si>
  <si>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</si>
  <si>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</si>
  <si>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</si>
  <si>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</si>
  <si>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</si>
  <si>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</si>
  <si>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</si>
  <si>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</si>
  <si>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</si>
  <si>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55 </t>
  </si>
  <si>
    <t xml:space="preserve">пр. Ленина, д. 68 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</si>
  <si>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</si>
  <si>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</si>
  <si>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</si>
  <si>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</si>
  <si>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</si>
  <si>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</si>
  <si>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</si>
  <si>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</si>
  <si>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</si>
  <si>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</si>
  <si>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</si>
  <si>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</si>
  <si>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</si>
  <si>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</si>
  <si>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</si>
  <si>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</si>
  <si>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</si>
  <si>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</si>
  <si>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</si>
  <si>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**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</si>
  <si>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</si>
  <si>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</si>
  <si>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</si>
  <si>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</si>
  <si>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</si>
  <si>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</si>
  <si>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</si>
  <si>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</si>
  <si>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</si>
  <si>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</si>
  <si>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</si>
  <si>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</si>
  <si>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</si>
  <si>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</si>
  <si>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</si>
  <si>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</si>
  <si>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</si>
  <si>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</si>
  <si>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</si>
  <si>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</si>
  <si>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ул. Александрова, д. 4 корп.1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</si>
  <si>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</si>
  <si>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</si>
  <si>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</si>
  <si>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</si>
  <si>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</si>
  <si>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</si>
  <si>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</si>
  <si>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</si>
  <si>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</si>
  <si>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</si>
  <si>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</si>
  <si>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</si>
  <si>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</si>
  <si>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</si>
  <si>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</si>
  <si>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</si>
  <si>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</si>
  <si>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</si>
  <si>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</si>
  <si>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</si>
  <si>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</si>
  <si>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</si>
  <si>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</si>
  <si>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</si>
  <si>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</si>
  <si>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</si>
  <si>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</si>
  <si>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</si>
  <si>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</si>
  <si>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</si>
  <si>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</si>
  <si>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</si>
  <si>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</si>
  <si>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</si>
  <si>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</si>
  <si>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</si>
  <si>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</si>
  <si>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</si>
  <si>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</si>
  <si>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</si>
  <si>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</si>
  <si>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</si>
  <si>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</si>
  <si>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</si>
  <si>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</si>
  <si>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</si>
  <si>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</si>
  <si>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</si>
  <si>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</si>
  <si>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</si>
  <si>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</si>
  <si>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</si>
  <si>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</si>
  <si>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</si>
  <si>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</si>
  <si>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</si>
  <si>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</si>
  <si>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</si>
  <si>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</si>
  <si>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</si>
  <si>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</si>
  <si>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</si>
  <si>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</si>
  <si>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</si>
  <si>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</si>
  <si>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</si>
  <si>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</si>
  <si>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</si>
  <si>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</si>
  <si>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</si>
  <si>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</si>
  <si>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</si>
  <si>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</si>
  <si>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</si>
  <si>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</si>
  <si>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41,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</si>
  <si>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</si>
  <si>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</si>
  <si>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</si>
  <si>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</si>
  <si>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</si>
  <si>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</si>
  <si>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</si>
  <si>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</si>
  <si>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</si>
  <si>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</si>
  <si>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</si>
  <si>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</si>
  <si>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</si>
  <si>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</si>
  <si>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</si>
  <si>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</si>
  <si>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</si>
  <si>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Чумбарова-Лучинского, д. 16</t>
  </si>
  <si>
    <t>ул. Чумбарова-Лучинского, д. 18</t>
  </si>
  <si>
    <t>ул. Чумбарова-Лучинского, д. 20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</si>
  <si>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</si>
  <si>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</si>
  <si>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</si>
  <si>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</si>
  <si>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</si>
  <si>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Бондарная, д. 1, п. 1,2,3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</si>
  <si>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</si>
  <si>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</si>
  <si>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</si>
  <si>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</si>
  <si>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к</t>
  </si>
  <si>
    <t>НКО "ФКР МО"</t>
  </si>
  <si>
    <t>К (2023-2023)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</si>
  <si>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</si>
  <si>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согласно техническим условиям теплоснабжающей организации;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</si>
  <si>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</si>
  <si>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многоквартирного дома, в том числе на ремонт (замену) лифтового оборудования; проведение экспертизы проектной документации.</t>
  </si>
  <si>
    <t>к постановлению администрации</t>
  </si>
  <si>
    <t xml:space="preserve">области, на 2022 года, собственники помещенийв которых в срок, установленный ч. 4 ст. 189 Жилищного кодекса </t>
  </si>
  <si>
    <t xml:space="preserve">от                № 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</si>
  <si>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</t>
  </si>
  <si>
    <t>и другое необходимое оборудование, согласно техническим условиям теплоснабжающей организации;</t>
  </si>
  <si>
    <t>НФУ 8212 от 05.10.2021 ОСС от 10.05.2021 решение только об организ работы по перенусу провед. КР крыши и фасада на 2022-2023</t>
  </si>
  <si>
    <t>ремонт крыши (включая стропильную систему и чердачные перекрытия)</t>
  </si>
  <si>
    <t>41 корп. 2</t>
  </si>
  <si>
    <t>ул. Академика Павлова*</t>
  </si>
  <si>
    <t>ул. Героев Рыбачьего**</t>
  </si>
  <si>
    <t>ул. Карла Маркса**</t>
  </si>
  <si>
    <t>ул. Коминтерна**</t>
  </si>
  <si>
    <t>пр-д Ледокольный**</t>
  </si>
  <si>
    <t>ул. Полярные Зори**</t>
  </si>
  <si>
    <t>ул. Сафонова**</t>
  </si>
  <si>
    <t>* - окончание работ по капитальному ремонту в 2024 году,</t>
  </si>
  <si>
    <t>** - начало работ по капитальному ремонту в 2021 году.</t>
  </si>
  <si>
    <t xml:space="preserve">                                                                     от 05.05.2022 № 1136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</si>
</sst>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-419]General"/>
    <numFmt numFmtId="165" formatCode="_-* #,##0.00_р_._-;\-* #,##0.00_р_._-;_-* &quot;-&quot;??_р_._-;_-@_-"/>
    <numFmt numFmtId="166" formatCode="0.0"/>
    <numFmt numFmtId="167" formatCode="#,##0.00;[Red]#,##0.00"/>
  </numFmts>
  <fonts count="61" x14ac:knownFonts="1">
    <font>
      <sz val="10"/>
      <name val="Times New Roman"/>
      <charset val="204"/>
    </font>
    <font>
      <sz val="16.5"/>
      <name val="Calibri"/>
      <family val="2"/>
      <charset val="204"/>
      <scheme val="minor"/>
    </font>
    <font>
      <sz val="58"/>
      <name val="Calibri"/>
      <family val="2"/>
      <charset val="204"/>
      <scheme val="minor"/>
    </font>
    <font>
      <sz val="58"/>
      <name val="Times New Roman"/>
      <family val="1"/>
      <charset val="204"/>
    </font>
    <font>
      <sz val="45"/>
      <name val="Calibri"/>
      <family val="2"/>
      <charset val="204"/>
      <scheme val="minor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32"/>
      <name val="Times New Roman"/>
      <family val="1"/>
      <charset val="204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2.5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48"/>
      <name val="Times New Roman"/>
      <family val="1"/>
      <charset val="204"/>
    </font>
    <font>
      <sz val="48"/>
      <name val="Calibri"/>
      <family val="2"/>
      <charset val="204"/>
      <scheme val="minor"/>
    </font>
    <font>
      <sz val="16.5"/>
      <name val="Calibri"/>
      <family val="2"/>
      <charset val="204"/>
      <scheme val="minor"/>
    </font>
    <font>
      <sz val="58"/>
      <name val="Calibri"/>
      <family val="2"/>
      <charset val="204"/>
      <scheme val="minor"/>
    </font>
    <font>
      <sz val="25"/>
      <name val="Calibri"/>
      <family val="2"/>
      <charset val="204"/>
      <scheme val="minor"/>
    </font>
    <font>
      <sz val="25"/>
      <name val="Times New Roman"/>
      <family val="1"/>
      <charset val="204"/>
    </font>
    <font>
      <sz val="25"/>
      <color rgb="FFFF0000"/>
      <name val="Times New Roman"/>
      <family val="1"/>
      <charset val="204"/>
    </font>
    <font>
      <sz val="16.5"/>
      <color rgb="FF00B05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.5"/>
      <name val="Times New Roman"/>
      <family val="1"/>
      <charset val="204"/>
    </font>
    <font>
      <b/>
      <sz val="25"/>
      <name val="Times New Roman"/>
      <family val="1"/>
      <charset val="204"/>
    </font>
    <font>
      <sz val="16.5"/>
      <color theme="6" tint="-0.249977111117893"/>
      <name val="Times New Roman"/>
      <family val="1"/>
      <charset val="204"/>
    </font>
    <font>
      <sz val="16.5"/>
      <color rgb="FF7030A0"/>
      <name val="Times New Roman"/>
      <family val="1"/>
      <charset val="204"/>
    </font>
    <font>
      <sz val="25"/>
      <color rgb="FF00B050"/>
      <name val="Times New Roman"/>
      <family val="1"/>
      <charset val="204"/>
    </font>
    <font>
      <sz val="16.5"/>
      <color rgb="FFFFC000"/>
      <name val="Times New Roman"/>
      <family val="1"/>
      <charset val="204"/>
    </font>
    <font>
      <sz val="16.5"/>
      <color rgb="FFCC0000"/>
      <name val="Times New Roman"/>
      <family val="1"/>
      <charset val="204"/>
    </font>
    <font>
      <b/>
      <sz val="25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6.5"/>
      <name val="Times New Roman"/>
      <family val="1"/>
      <charset val="204"/>
    </font>
    <font>
      <u/>
      <sz val="16.5"/>
      <color rgb="FFFF0000"/>
      <name val="Times New Roman"/>
      <family val="1"/>
      <charset val="204"/>
    </font>
    <font>
      <b/>
      <u/>
      <sz val="16.5"/>
      <name val="Times New Roman"/>
      <family val="1"/>
      <charset val="204"/>
    </font>
    <font>
      <b/>
      <sz val="16.5"/>
      <color rgb="FFFF0000"/>
      <name val="Times New Roman"/>
      <family val="1"/>
      <charset val="204"/>
    </font>
    <font>
      <b/>
      <i/>
      <u/>
      <sz val="25"/>
      <color rgb="FFFF0000"/>
      <name val="Calibri"/>
      <family val="2"/>
      <charset val="204"/>
      <scheme val="minor"/>
    </font>
    <font>
      <sz val="20"/>
      <name val="Tahoma"/>
      <family val="2"/>
      <charset val="204"/>
    </font>
    <font>
      <sz val="9"/>
      <name val="Times New Roman"/>
      <family val="1"/>
      <charset val="204"/>
    </font>
    <font>
      <b/>
      <sz val="18"/>
      <name val="Tahoma"/>
      <family val="2"/>
      <charset val="204"/>
    </font>
    <font>
      <b/>
      <sz val="16"/>
      <name val="Tahoma"/>
      <family val="2"/>
      <charset val="204"/>
    </font>
    <font>
      <sz val="14"/>
      <name val="Tahoma"/>
      <family val="2"/>
      <charset val="204"/>
    </font>
    <font>
      <sz val="16"/>
      <name val="Tahoma"/>
      <family val="2"/>
      <charset val="204"/>
    </font>
    <font>
      <sz val="18"/>
      <name val="Tahoma"/>
      <family val="2"/>
      <charset val="204"/>
    </font>
    <font>
      <sz val="9"/>
      <name val="Tahoma"/>
      <family val="2"/>
      <charset val="204"/>
    </font>
    <font>
      <b/>
      <sz val="20"/>
      <name val="Tahoma"/>
      <family val="2"/>
      <charset val="204"/>
    </font>
    <font>
      <b/>
      <sz val="9"/>
      <name val="Tahoma"/>
      <family val="2"/>
      <charset val="204"/>
    </font>
    <font>
      <sz val="16.5"/>
      <name val="Times New Roman"/>
      <family val="1"/>
      <charset val="204"/>
    </font>
    <font>
      <sz val="12.5"/>
      <name val="Times New Roman"/>
      <family val="1"/>
      <charset val="204"/>
    </font>
    <font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0" fontId="13" fillId="0" borderId="0" applyNumberFormat="0" applyBorder="0" applyProtection="0">
      <alignment horizontal="left" vertical="center"/>
    </xf>
    <xf numFmtId="0" fontId="35" fillId="0" borderId="0"/>
    <xf numFmtId="0" fontId="35" fillId="0" borderId="0"/>
    <xf numFmtId="0" fontId="35" fillId="14" borderId="14" applyNumberFormat="0" applyFont="0" applyAlignment="0" applyProtection="0"/>
    <xf numFmtId="0" fontId="13" fillId="0" borderId="0" applyNumberFormat="0" applyBorder="0" applyProtection="0">
      <alignment horizontal="left" vertical="center" wrapText="1"/>
    </xf>
    <xf numFmtId="0" fontId="36" fillId="0" borderId="0"/>
    <xf numFmtId="0" fontId="35" fillId="0" borderId="0"/>
    <xf numFmtId="0" fontId="35" fillId="0" borderId="0"/>
    <xf numFmtId="0" fontId="13" fillId="0" borderId="0" applyNumberFormat="0" applyBorder="0" applyProtection="0">
      <alignment horizontal="left" vertical="center" wrapText="1"/>
    </xf>
    <xf numFmtId="0" fontId="35" fillId="0" borderId="0"/>
    <xf numFmtId="0" fontId="35" fillId="14" borderId="14" applyNumberFormat="0" applyFont="0" applyAlignment="0" applyProtection="0"/>
    <xf numFmtId="0" fontId="35" fillId="0" borderId="0"/>
    <xf numFmtId="0" fontId="37" fillId="0" borderId="0"/>
    <xf numFmtId="0" fontId="35" fillId="14" borderId="14" applyNumberFormat="0" applyFont="0" applyAlignment="0" applyProtection="0"/>
    <xf numFmtId="0" fontId="34" fillId="0" borderId="13">
      <alignment horizontal="left" vertical="top" wrapText="1"/>
    </xf>
    <xf numFmtId="164" fontId="38" fillId="0" borderId="0" applyBorder="0" applyProtection="0"/>
    <xf numFmtId="0" fontId="39" fillId="0" borderId="0">
      <alignment horizontal="right" vertical="center"/>
    </xf>
    <xf numFmtId="44" fontId="35" fillId="0" borderId="0" applyFont="0" applyFill="0" applyBorder="0" applyAlignment="0" applyProtection="0"/>
    <xf numFmtId="0" fontId="34" fillId="0" borderId="0"/>
    <xf numFmtId="0" fontId="35" fillId="14" borderId="14" applyNumberFormat="0" applyFont="0" applyAlignment="0" applyProtection="0"/>
    <xf numFmtId="0" fontId="35" fillId="14" borderId="14" applyNumberFormat="0" applyFont="0" applyAlignment="0" applyProtection="0"/>
    <xf numFmtId="0" fontId="35" fillId="14" borderId="14" applyNumberFormat="0" applyFont="0" applyAlignment="0" applyProtection="0"/>
    <xf numFmtId="0" fontId="35" fillId="14" borderId="14" applyNumberFormat="0" applyFont="0" applyAlignment="0" applyProtection="0"/>
    <xf numFmtId="165" fontId="13" fillId="0" borderId="0" applyFont="0" applyFill="0" applyBorder="0" applyAlignment="0" applyProtection="0">
      <alignment horizontal="left" vertical="center" wrapText="1"/>
    </xf>
    <xf numFmtId="165" fontId="13" fillId="0" borderId="0" applyFont="0" applyFill="0" applyBorder="0" applyAlignment="0" applyProtection="0">
      <alignment horizontal="left" vertical="center" wrapText="1"/>
    </xf>
    <xf numFmtId="43" fontId="35" fillId="0" borderId="0" applyFont="0" applyFill="0" applyBorder="0" applyAlignment="0" applyProtection="0"/>
  </cellStyleXfs>
  <cellXfs count="379">
    <xf numFmtId="0" fontId="0" fillId="0" borderId="0" xfId="0">
      <alignment horizontal="left" vertical="center" wrapText="1"/>
    </xf>
    <xf numFmtId="0" fontId="1" fillId="2" borderId="0" xfId="5" applyFont="1" applyFill="1" applyBorder="1" applyAlignment="1">
      <alignment horizontal="justify"/>
    </xf>
    <xf numFmtId="1" fontId="1" fillId="2" borderId="0" xfId="5" applyNumberFormat="1" applyFont="1" applyFill="1" applyAlignment="1"/>
    <xf numFmtId="0" fontId="2" fillId="2" borderId="0" xfId="5" applyFont="1" applyFill="1" applyAlignment="1"/>
    <xf numFmtId="0" fontId="3" fillId="2" borderId="0" xfId="5" applyFont="1" applyFill="1" applyAlignment="1"/>
    <xf numFmtId="0" fontId="1" fillId="2" borderId="0" xfId="5" applyFont="1" applyFill="1" applyAlignment="1"/>
    <xf numFmtId="0" fontId="1" fillId="2" borderId="0" xfId="5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1" fillId="2" borderId="0" xfId="5" applyFont="1" applyFill="1" applyAlignment="1">
      <alignment horizontal="center"/>
    </xf>
    <xf numFmtId="4" fontId="1" fillId="2" borderId="0" xfId="5" applyNumberFormat="1" applyFont="1" applyFill="1" applyAlignment="1">
      <alignment horizontal="center"/>
    </xf>
    <xf numFmtId="0" fontId="4" fillId="2" borderId="0" xfId="5" applyFont="1" applyFill="1" applyAlignment="1"/>
    <xf numFmtId="0" fontId="4" fillId="2" borderId="0" xfId="5" applyFont="1" applyFill="1" applyAlignment="1">
      <alignment horizontal="center" vertical="center"/>
    </xf>
    <xf numFmtId="0" fontId="5" fillId="2" borderId="0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 textRotation="90" wrapText="1"/>
    </xf>
    <xf numFmtId="1" fontId="6" fillId="2" borderId="4" xfId="5" applyNumberFormat="1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center" vertical="center" wrapText="1"/>
    </xf>
    <xf numFmtId="0" fontId="6" fillId="4" borderId="4" xfId="5" applyFont="1" applyFill="1" applyBorder="1" applyAlignment="1">
      <alignment horizontal="center" vertical="center" wrapText="1"/>
    </xf>
    <xf numFmtId="166" fontId="6" fillId="2" borderId="4" xfId="5" applyNumberFormat="1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0" fontId="4" fillId="2" borderId="0" xfId="5" applyFont="1" applyFill="1" applyAlignment="1">
      <alignment horizontal="center"/>
    </xf>
    <xf numFmtId="4" fontId="4" fillId="2" borderId="0" xfId="5" applyNumberFormat="1" applyFont="1" applyFill="1" applyAlignment="1">
      <alignment horizontal="center"/>
    </xf>
    <xf numFmtId="0" fontId="6" fillId="2" borderId="6" xfId="5" applyFont="1" applyFill="1" applyBorder="1" applyAlignment="1">
      <alignment horizontal="center" vertical="center" wrapText="1"/>
    </xf>
    <xf numFmtId="4" fontId="6" fillId="2" borderId="4" xfId="5" applyNumberFormat="1" applyFont="1" applyFill="1" applyBorder="1" applyAlignment="1">
      <alignment horizontal="center" vertical="center" wrapText="1"/>
    </xf>
    <xf numFmtId="4" fontId="6" fillId="4" borderId="4" xfId="5" applyNumberFormat="1" applyFont="1" applyFill="1" applyBorder="1" applyAlignment="1">
      <alignment horizontal="center" vertical="center" wrapText="1"/>
    </xf>
    <xf numFmtId="4" fontId="1" fillId="2" borderId="4" xfId="5" applyNumberFormat="1" applyFont="1" applyFill="1" applyBorder="1" applyAlignment="1">
      <alignment horizontal="center"/>
    </xf>
    <xf numFmtId="4" fontId="6" fillId="3" borderId="4" xfId="5" applyNumberFormat="1" applyFont="1" applyFill="1" applyBorder="1" applyAlignment="1">
      <alignment horizontal="center" vertical="center" wrapText="1"/>
    </xf>
    <xf numFmtId="0" fontId="6" fillId="2" borderId="0" xfId="5" applyFont="1" applyFill="1" applyAlignment="1">
      <alignment horizontal="center"/>
    </xf>
    <xf numFmtId="4" fontId="6" fillId="2" borderId="1" xfId="5" applyNumberFormat="1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/>
    </xf>
    <xf numFmtId="4" fontId="9" fillId="2" borderId="0" xfId="5" applyNumberFormat="1" applyFont="1" applyFill="1" applyBorder="1" applyAlignment="1">
      <alignment horizontal="center"/>
    </xf>
    <xf numFmtId="0" fontId="9" fillId="2" borderId="0" xfId="5" applyFont="1" applyFill="1" applyBorder="1" applyAlignment="1">
      <alignment horizontal="center"/>
    </xf>
    <xf numFmtId="2" fontId="6" fillId="2" borderId="4" xfId="5" applyNumberFormat="1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166" fontId="6" fillId="2" borderId="4" xfId="5" applyNumberFormat="1" applyFont="1" applyFill="1" applyBorder="1" applyAlignment="1">
      <alignment horizontal="center" vertical="center"/>
    </xf>
    <xf numFmtId="49" fontId="6" fillId="2" borderId="4" xfId="5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166" fontId="6" fillId="2" borderId="1" xfId="5" applyNumberFormat="1" applyFont="1" applyFill="1" applyBorder="1" applyAlignment="1">
      <alignment horizontal="center" vertical="center" wrapText="1"/>
    </xf>
    <xf numFmtId="0" fontId="6" fillId="2" borderId="4" xfId="5" applyNumberFormat="1" applyFont="1" applyFill="1" applyBorder="1" applyAlignment="1">
      <alignment horizontal="center" vertical="center" wrapText="1"/>
    </xf>
    <xf numFmtId="0" fontId="6" fillId="2" borderId="7" xfId="5" applyFont="1" applyFill="1" applyBorder="1" applyAlignment="1">
      <alignment horizontal="center" vertical="center" wrapText="1"/>
    </xf>
    <xf numFmtId="4" fontId="6" fillId="2" borderId="1" xfId="5" applyNumberFormat="1" applyFont="1" applyFill="1" applyBorder="1" applyAlignment="1">
      <alignment horizontal="center" vertical="center" wrapText="1"/>
    </xf>
    <xf numFmtId="2" fontId="6" fillId="2" borderId="1" xfId="5" applyNumberFormat="1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 wrapText="1"/>
    </xf>
    <xf numFmtId="0" fontId="3" fillId="2" borderId="0" xfId="5" applyFont="1" applyFill="1" applyAlignment="1">
      <alignment horizontal="left"/>
    </xf>
    <xf numFmtId="0" fontId="3" fillId="2" borderId="0" xfId="5" applyFont="1" applyFill="1" applyAlignment="1">
      <alignment horizontal="center" vertical="center"/>
    </xf>
    <xf numFmtId="0" fontId="3" fillId="2" borderId="0" xfId="5" applyFont="1" applyFill="1" applyAlignment="1">
      <alignment horizontal="left" wrapText="1"/>
    </xf>
    <xf numFmtId="0" fontId="6" fillId="2" borderId="0" xfId="5" applyFont="1" applyFill="1" applyAlignment="1">
      <alignment horizontal="left"/>
    </xf>
    <xf numFmtId="0" fontId="2" fillId="2" borderId="0" xfId="5" applyFont="1" applyFill="1" applyAlignment="1">
      <alignment horizontal="center" vertical="center"/>
    </xf>
    <xf numFmtId="4" fontId="6" fillId="2" borderId="0" xfId="5" applyNumberFormat="1" applyFont="1" applyFill="1" applyBorder="1" applyAlignment="1">
      <alignment horizontal="center" vertical="center" wrapText="1"/>
    </xf>
    <xf numFmtId="0" fontId="3" fillId="2" borderId="0" xfId="5" applyFont="1" applyFill="1" applyAlignment="1">
      <alignment horizontal="center" vertical="center" wrapText="1"/>
    </xf>
    <xf numFmtId="4" fontId="3" fillId="2" borderId="0" xfId="5" applyNumberFormat="1" applyFont="1" applyFill="1" applyAlignment="1">
      <alignment horizontal="left"/>
    </xf>
    <xf numFmtId="0" fontId="2" fillId="2" borderId="0" xfId="5" applyFont="1" applyFill="1" applyAlignment="1">
      <alignment horizontal="center" vertical="center" wrapText="1"/>
    </xf>
    <xf numFmtId="4" fontId="2" fillId="2" borderId="0" xfId="5" applyNumberFormat="1" applyFont="1" applyFill="1" applyAlignment="1"/>
    <xf numFmtId="0" fontId="2" fillId="2" borderId="0" xfId="5" applyFont="1" applyFill="1" applyAlignment="1">
      <alignment horizontal="left"/>
    </xf>
    <xf numFmtId="4" fontId="2" fillId="2" borderId="0" xfId="5" applyNumberFormat="1" applyFont="1" applyFill="1" applyAlignment="1">
      <alignment horizontal="left"/>
    </xf>
    <xf numFmtId="4" fontId="3" fillId="2" borderId="0" xfId="5" applyNumberFormat="1" applyFont="1" applyFill="1" applyAlignment="1"/>
    <xf numFmtId="0" fontId="1" fillId="2" borderId="8" xfId="5" applyFont="1" applyFill="1" applyBorder="1" applyAlignment="1">
      <alignment horizontal="center" vertical="center"/>
    </xf>
    <xf numFmtId="0" fontId="1" fillId="2" borderId="8" xfId="5" applyFont="1" applyFill="1" applyBorder="1" applyAlignment="1">
      <alignment horizontal="center" vertical="center" wrapText="1"/>
    </xf>
    <xf numFmtId="0" fontId="1" fillId="2" borderId="8" xfId="5" applyFont="1" applyFill="1" applyBorder="1" applyAlignment="1"/>
    <xf numFmtId="4" fontId="1" fillId="2" borderId="8" xfId="5" applyNumberFormat="1" applyFont="1" applyFill="1" applyBorder="1" applyAlignment="1"/>
    <xf numFmtId="4" fontId="1" fillId="2" borderId="0" xfId="5" applyNumberFormat="1" applyFont="1" applyFill="1" applyAlignment="1"/>
    <xf numFmtId="4" fontId="6" fillId="2" borderId="1" xfId="5" applyNumberFormat="1" applyFont="1" applyFill="1" applyBorder="1" applyAlignment="1">
      <alignment horizontal="center" vertical="center"/>
    </xf>
    <xf numFmtId="4" fontId="6" fillId="3" borderId="1" xfId="5" applyNumberFormat="1" applyFont="1" applyFill="1" applyBorder="1" applyAlignment="1">
      <alignment horizontal="center" vertical="center" wrapText="1"/>
    </xf>
    <xf numFmtId="4" fontId="6" fillId="2" borderId="4" xfId="5" applyNumberFormat="1" applyFont="1" applyFill="1" applyBorder="1" applyAlignment="1">
      <alignment horizontal="center" vertical="center"/>
    </xf>
    <xf numFmtId="4" fontId="3" fillId="2" borderId="0" xfId="5" applyNumberFormat="1" applyFont="1" applyFill="1" applyAlignment="1">
      <alignment horizontal="center"/>
    </xf>
    <xf numFmtId="4" fontId="2" fillId="2" borderId="0" xfId="5" applyNumberFormat="1" applyFont="1" applyFill="1" applyAlignment="1">
      <alignment horizontal="center"/>
    </xf>
    <xf numFmtId="4" fontId="1" fillId="2" borderId="8" xfId="5" applyNumberFormat="1" applyFont="1" applyFill="1" applyBorder="1" applyAlignment="1">
      <alignment horizontal="center"/>
    </xf>
    <xf numFmtId="0" fontId="6" fillId="2" borderId="4" xfId="5" applyFont="1" applyFill="1" applyBorder="1" applyAlignment="1"/>
    <xf numFmtId="0" fontId="6" fillId="2" borderId="0" xfId="5" applyFont="1" applyFill="1" applyBorder="1" applyAlignment="1"/>
    <xf numFmtId="0" fontId="1" fillId="2" borderId="0" xfId="5" applyFont="1" applyFill="1" applyAlignment="1">
      <alignment horizontal="left"/>
    </xf>
    <xf numFmtId="0" fontId="4" fillId="2" borderId="0" xfId="5" applyFont="1" applyFill="1" applyAlignment="1">
      <alignment horizontal="left"/>
    </xf>
    <xf numFmtId="0" fontId="6" fillId="2" borderId="0" xfId="5" applyFont="1" applyFill="1" applyBorder="1" applyAlignment="1">
      <alignment horizontal="right"/>
    </xf>
    <xf numFmtId="0" fontId="11" fillId="2" borderId="0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left" vertical="center" wrapText="1"/>
    </xf>
    <xf numFmtId="0" fontId="6" fillId="2" borderId="4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12" fillId="0" borderId="0" xfId="0" applyFo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6" fillId="2" borderId="0" xfId="5" applyFont="1" applyFill="1" applyAlignment="1"/>
    <xf numFmtId="0" fontId="5" fillId="2" borderId="0" xfId="5" applyFont="1" applyFill="1" applyAlignment="1"/>
    <xf numFmtId="0" fontId="16" fillId="2" borderId="0" xfId="5" applyFont="1" applyFill="1" applyAlignment="1">
      <alignment vertical="top"/>
    </xf>
    <xf numFmtId="0" fontId="6" fillId="2" borderId="4" xfId="5" applyFont="1" applyFill="1" applyBorder="1" applyAlignment="1">
      <alignment horizontal="center" vertical="center"/>
    </xf>
    <xf numFmtId="4" fontId="6" fillId="2" borderId="4" xfId="5" applyNumberFormat="1" applyFont="1" applyFill="1" applyBorder="1" applyAlignment="1">
      <alignment horizontal="center"/>
    </xf>
    <xf numFmtId="4" fontId="6" fillId="2" borderId="4" xfId="5" applyNumberFormat="1" applyFont="1" applyFill="1" applyBorder="1" applyAlignment="1">
      <alignment horizontal="left" wrapText="1"/>
    </xf>
    <xf numFmtId="4" fontId="6" fillId="2" borderId="4" xfId="5" applyNumberFormat="1" applyFont="1" applyFill="1" applyBorder="1" applyAlignment="1">
      <alignment horizontal="justify"/>
    </xf>
    <xf numFmtId="0" fontId="6" fillId="6" borderId="4" xfId="5" applyFont="1" applyFill="1" applyBorder="1" applyAlignment="1">
      <alignment horizontal="center" vertical="center" wrapText="1"/>
    </xf>
    <xf numFmtId="166" fontId="6" fillId="6" borderId="4" xfId="5" applyNumberFormat="1" applyFont="1" applyFill="1" applyBorder="1" applyAlignment="1">
      <alignment horizontal="center" vertical="center" wrapText="1"/>
    </xf>
    <xf numFmtId="167" fontId="6" fillId="2" borderId="4" xfId="5" applyNumberFormat="1" applyFont="1" applyFill="1" applyBorder="1" applyAlignment="1">
      <alignment horizontal="center" vertical="center" wrapText="1"/>
    </xf>
    <xf numFmtId="4" fontId="6" fillId="6" borderId="4" xfId="5" applyNumberFormat="1" applyFont="1" applyFill="1" applyBorder="1" applyAlignment="1">
      <alignment horizontal="center" vertical="center" wrapText="1"/>
    </xf>
    <xf numFmtId="4" fontId="1" fillId="6" borderId="4" xfId="5" applyNumberFormat="1" applyFont="1" applyFill="1" applyBorder="1" applyAlignment="1">
      <alignment horizontal="center"/>
    </xf>
    <xf numFmtId="2" fontId="6" fillId="6" borderId="4" xfId="5" applyNumberFormat="1" applyFont="1" applyFill="1" applyBorder="1" applyAlignment="1">
      <alignment horizontal="center" vertical="center" wrapText="1"/>
    </xf>
    <xf numFmtId="166" fontId="6" fillId="6" borderId="4" xfId="5" applyNumberFormat="1" applyFont="1" applyFill="1" applyBorder="1" applyAlignment="1">
      <alignment horizontal="center" vertical="center"/>
    </xf>
    <xf numFmtId="49" fontId="6" fillId="6" borderId="4" xfId="5" applyNumberFormat="1" applyFont="1" applyFill="1" applyBorder="1" applyAlignment="1">
      <alignment horizontal="center" vertical="center" wrapText="1"/>
    </xf>
    <xf numFmtId="0" fontId="6" fillId="6" borderId="4" xfId="5" applyNumberFormat="1" applyFont="1" applyFill="1" applyBorder="1" applyAlignment="1">
      <alignment horizontal="center" vertical="center" wrapText="1"/>
    </xf>
    <xf numFmtId="0" fontId="17" fillId="2" borderId="0" xfId="5" applyFont="1" applyFill="1" applyAlignment="1">
      <alignment horizontal="left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 applyAlignment="1"/>
    <xf numFmtId="0" fontId="17" fillId="2" borderId="0" xfId="5" applyFont="1" applyFill="1" applyAlignment="1">
      <alignment horizontal="center" vertical="center" wrapText="1"/>
    </xf>
    <xf numFmtId="4" fontId="17" fillId="2" borderId="0" xfId="5" applyNumberFormat="1" applyFont="1" applyFill="1" applyAlignment="1">
      <alignment horizontal="left"/>
    </xf>
    <xf numFmtId="0" fontId="18" fillId="2" borderId="0" xfId="5" applyFont="1" applyFill="1" applyAlignment="1">
      <alignment horizontal="center" vertical="center"/>
    </xf>
    <xf numFmtId="0" fontId="18" fillId="2" borderId="0" xfId="5" applyFont="1" applyFill="1" applyAlignment="1">
      <alignment horizontal="center" vertical="center" wrapText="1"/>
    </xf>
    <xf numFmtId="0" fontId="18" fillId="2" borderId="0" xfId="5" applyFont="1" applyFill="1" applyAlignment="1"/>
    <xf numFmtId="4" fontId="18" fillId="2" borderId="0" xfId="5" applyNumberFormat="1" applyFont="1" applyFill="1" applyAlignment="1"/>
    <xf numFmtId="0" fontId="18" fillId="2" borderId="0" xfId="5" applyFont="1" applyFill="1" applyAlignment="1">
      <alignment horizontal="left"/>
    </xf>
    <xf numFmtId="4" fontId="18" fillId="2" borderId="0" xfId="5" applyNumberFormat="1" applyFont="1" applyFill="1" applyAlignment="1">
      <alignment horizontal="left"/>
    </xf>
    <xf numFmtId="4" fontId="17" fillId="2" borderId="0" xfId="5" applyNumberFormat="1" applyFont="1" applyFill="1" applyAlignment="1"/>
    <xf numFmtId="4" fontId="6" fillId="6" borderId="4" xfId="5" applyNumberFormat="1" applyFont="1" applyFill="1" applyBorder="1" applyAlignment="1">
      <alignment horizontal="center" vertical="center"/>
    </xf>
    <xf numFmtId="4" fontId="17" fillId="2" borderId="0" xfId="5" applyNumberFormat="1" applyFont="1" applyFill="1" applyAlignment="1">
      <alignment horizontal="center"/>
    </xf>
    <xf numFmtId="4" fontId="18" fillId="2" borderId="0" xfId="5" applyNumberFormat="1" applyFont="1" applyFill="1" applyAlignment="1">
      <alignment horizontal="center"/>
    </xf>
    <xf numFmtId="0" fontId="6" fillId="6" borderId="4" xfId="5" applyFont="1" applyFill="1" applyBorder="1" applyAlignment="1"/>
    <xf numFmtId="0" fontId="5" fillId="2" borderId="0" xfId="5" applyFont="1" applyFill="1" applyAlignment="1">
      <alignment horizontal="left"/>
    </xf>
    <xf numFmtId="0" fontId="17" fillId="2" borderId="0" xfId="5" applyFont="1" applyFill="1" applyAlignment="1">
      <alignment vertical="top" wrapText="1"/>
    </xf>
    <xf numFmtId="0" fontId="5" fillId="2" borderId="0" xfId="5" applyFont="1" applyFill="1" applyAlignment="1">
      <alignment horizontal="left" wrapText="1"/>
    </xf>
    <xf numFmtId="0" fontId="19" fillId="7" borderId="0" xfId="5" applyFont="1" applyFill="1" applyAlignment="1"/>
    <xf numFmtId="0" fontId="19" fillId="8" borderId="0" xfId="5" applyFont="1" applyFill="1" applyAlignment="1"/>
    <xf numFmtId="0" fontId="19" fillId="2" borderId="4" xfId="5" applyFont="1" applyFill="1" applyBorder="1" applyAlignment="1"/>
    <xf numFmtId="0" fontId="19" fillId="7" borderId="4" xfId="5" applyFont="1" applyFill="1" applyBorder="1" applyAlignment="1"/>
    <xf numFmtId="0" fontId="20" fillId="2" borderId="0" xfId="5" applyFont="1" applyFill="1" applyAlignment="1"/>
    <xf numFmtId="0" fontId="6" fillId="0" borderId="0" xfId="5" applyFont="1" applyAlignment="1">
      <alignment horizontal="center" vertical="center" wrapText="1"/>
    </xf>
    <xf numFmtId="0" fontId="19" fillId="2" borderId="0" xfId="5" applyFont="1" applyFill="1" applyAlignment="1"/>
    <xf numFmtId="0" fontId="21" fillId="2" borderId="0" xfId="5" applyFont="1" applyFill="1" applyAlignment="1"/>
    <xf numFmtId="0" fontId="19" fillId="2" borderId="0" xfId="5" applyFont="1" applyFill="1" applyAlignment="1">
      <alignment horizontal="center" vertical="center"/>
    </xf>
    <xf numFmtId="0" fontId="19" fillId="2" borderId="0" xfId="5" applyFont="1" applyFill="1" applyAlignment="1">
      <alignment horizontal="center"/>
    </xf>
    <xf numFmtId="0" fontId="19" fillId="2" borderId="0" xfId="5" applyFont="1" applyFill="1" applyAlignment="1">
      <alignment horizontal="center" vertical="center" wrapText="1"/>
    </xf>
    <xf numFmtId="4" fontId="19" fillId="2" borderId="0" xfId="5" applyNumberFormat="1" applyFont="1" applyFill="1" applyAlignment="1">
      <alignment horizontal="center"/>
    </xf>
    <xf numFmtId="2" fontId="19" fillId="2" borderId="0" xfId="5" applyNumberFormat="1" applyFont="1" applyFill="1" applyAlignment="1">
      <alignment horizontal="center"/>
    </xf>
    <xf numFmtId="0" fontId="7" fillId="2" borderId="4" xfId="5" applyFont="1" applyFill="1" applyBorder="1" applyAlignment="1">
      <alignment horizontal="center" vertical="center" wrapText="1"/>
    </xf>
    <xf numFmtId="0" fontId="22" fillId="2" borderId="4" xfId="5" applyFont="1" applyFill="1" applyBorder="1" applyAlignment="1">
      <alignment horizontal="center" vertical="center" wrapText="1"/>
    </xf>
    <xf numFmtId="0" fontId="6" fillId="9" borderId="0" xfId="5" applyFont="1" applyFill="1" applyAlignment="1">
      <alignment horizontal="center" vertical="center" wrapText="1"/>
    </xf>
    <xf numFmtId="0" fontId="6" fillId="7" borderId="0" xfId="5" applyFont="1" applyFill="1" applyAlignment="1">
      <alignment horizontal="center" vertical="center" wrapText="1"/>
    </xf>
    <xf numFmtId="0" fontId="6" fillId="7" borderId="4" xfId="5" applyFont="1" applyFill="1" applyBorder="1" applyAlignment="1">
      <alignment horizontal="center" vertical="center" wrapText="1"/>
    </xf>
    <xf numFmtId="0" fontId="23" fillId="7" borderId="4" xfId="5" applyFont="1" applyFill="1" applyBorder="1" applyAlignment="1">
      <alignment horizontal="center" vertical="center" wrapText="1"/>
    </xf>
    <xf numFmtId="0" fontId="22" fillId="7" borderId="4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/>
    </xf>
    <xf numFmtId="0" fontId="22" fillId="4" borderId="4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22" fillId="10" borderId="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166" fontId="6" fillId="7" borderId="4" xfId="5" applyNumberFormat="1" applyFont="1" applyFill="1" applyBorder="1" applyAlignment="1">
      <alignment horizontal="center" vertical="center" wrapText="1"/>
    </xf>
    <xf numFmtId="4" fontId="19" fillId="2" borderId="4" xfId="5" applyNumberFormat="1" applyFont="1" applyFill="1" applyBorder="1" applyAlignment="1">
      <alignment horizontal="center"/>
    </xf>
    <xf numFmtId="2" fontId="19" fillId="2" borderId="4" xfId="5" applyNumberFormat="1" applyFont="1" applyFill="1" applyBorder="1" applyAlignment="1">
      <alignment horizontal="center"/>
    </xf>
    <xf numFmtId="4" fontId="19" fillId="7" borderId="4" xfId="0" applyNumberFormat="1" applyFont="1" applyFill="1" applyBorder="1" applyAlignment="1">
      <alignment horizontal="center"/>
    </xf>
    <xf numFmtId="2" fontId="19" fillId="7" borderId="4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6" fillId="11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4" fontId="6" fillId="10" borderId="4" xfId="5" applyNumberFormat="1" applyFont="1" applyFill="1" applyBorder="1" applyAlignment="1">
      <alignment horizontal="center" vertical="center" wrapText="1"/>
    </xf>
    <xf numFmtId="4" fontId="6" fillId="11" borderId="4" xfId="0" applyNumberFormat="1" applyFont="1" applyFill="1" applyBorder="1" applyAlignment="1">
      <alignment horizontal="center" vertical="center" wrapText="1"/>
    </xf>
    <xf numFmtId="2" fontId="6" fillId="7" borderId="4" xfId="5" applyNumberFormat="1" applyFont="1" applyFill="1" applyBorder="1" applyAlignment="1">
      <alignment horizontal="center" vertical="center" wrapText="1"/>
    </xf>
    <xf numFmtId="0" fontId="6" fillId="8" borderId="0" xfId="5" applyFont="1" applyFill="1" applyAlignment="1">
      <alignment horizontal="center" vertical="center" wrapText="1"/>
    </xf>
    <xf numFmtId="0" fontId="22" fillId="2" borderId="4" xfId="5" applyFont="1" applyFill="1" applyBorder="1" applyAlignment="1">
      <alignment horizontal="left" vertical="center" wrapText="1"/>
    </xf>
    <xf numFmtId="0" fontId="15" fillId="2" borderId="4" xfId="5" applyFont="1" applyFill="1" applyBorder="1" applyAlignment="1">
      <alignment horizontal="center" vertical="center" wrapText="1"/>
    </xf>
    <xf numFmtId="0" fontId="22" fillId="10" borderId="4" xfId="5" applyFont="1" applyFill="1" applyBorder="1" applyAlignment="1">
      <alignment horizontal="left" vertical="center" wrapText="1"/>
    </xf>
    <xf numFmtId="0" fontId="22" fillId="7" borderId="4" xfId="5" applyFont="1" applyFill="1" applyBorder="1" applyAlignment="1">
      <alignment horizontal="left" vertical="center" wrapText="1"/>
    </xf>
    <xf numFmtId="166" fontId="6" fillId="7" borderId="4" xfId="5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center" vertical="center" wrapText="1"/>
    </xf>
    <xf numFmtId="4" fontId="6" fillId="12" borderId="4" xfId="5" applyNumberFormat="1" applyFont="1" applyFill="1" applyBorder="1" applyAlignment="1">
      <alignment horizontal="center" vertical="center" wrapText="1"/>
    </xf>
    <xf numFmtId="4" fontId="6" fillId="7" borderId="4" xfId="5" applyNumberFormat="1" applyFont="1" applyFill="1" applyBorder="1" applyAlignment="1">
      <alignment horizontal="center" vertical="center" wrapText="1"/>
    </xf>
    <xf numFmtId="4" fontId="10" fillId="7" borderId="4" xfId="5" applyNumberFormat="1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26" fillId="2" borderId="4" xfId="5" applyFont="1" applyFill="1" applyBorder="1" applyAlignment="1">
      <alignment horizontal="center" vertical="center" wrapText="1"/>
    </xf>
    <xf numFmtId="0" fontId="27" fillId="2" borderId="4" xfId="5" applyFont="1" applyFill="1" applyBorder="1" applyAlignment="1">
      <alignment horizontal="center" vertical="center" wrapText="1"/>
    </xf>
    <xf numFmtId="0" fontId="6" fillId="8" borderId="4" xfId="5" applyFont="1" applyFill="1" applyBorder="1" applyAlignment="1">
      <alignment horizontal="center" vertical="center" wrapText="1"/>
    </xf>
    <xf numFmtId="0" fontId="22" fillId="8" borderId="4" xfId="5" applyFont="1" applyFill="1" applyBorder="1" applyAlignment="1">
      <alignment horizontal="center" vertical="center" wrapText="1"/>
    </xf>
    <xf numFmtId="0" fontId="28" fillId="2" borderId="4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166" fontId="6" fillId="8" borderId="4" xfId="5" applyNumberFormat="1" applyFont="1" applyFill="1" applyBorder="1" applyAlignment="1">
      <alignment horizontal="center" vertical="center" wrapText="1"/>
    </xf>
    <xf numFmtId="4" fontId="6" fillId="13" borderId="4" xfId="0" applyNumberFormat="1" applyFont="1" applyFill="1" applyBorder="1" applyAlignment="1">
      <alignment horizontal="center" vertical="center" wrapText="1"/>
    </xf>
    <xf numFmtId="4" fontId="29" fillId="2" borderId="4" xfId="9" applyNumberFormat="1" applyFont="1" applyFill="1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center" vertical="center" wrapText="1"/>
    </xf>
    <xf numFmtId="2" fontId="6" fillId="8" borderId="4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4" fontId="10" fillId="7" borderId="4" xfId="0" applyNumberFormat="1" applyFont="1" applyFill="1" applyBorder="1" applyAlignment="1">
      <alignment horizontal="center" vertical="center" wrapText="1"/>
    </xf>
    <xf numFmtId="0" fontId="30" fillId="2" borderId="4" xfId="5" applyFont="1" applyFill="1" applyBorder="1" applyAlignment="1">
      <alignment horizontal="center" vertical="center" wrapText="1"/>
    </xf>
    <xf numFmtId="0" fontId="22" fillId="11" borderId="4" xfId="5" applyFont="1" applyFill="1" applyBorder="1" applyAlignment="1">
      <alignment horizontal="center" vertical="center" wrapText="1"/>
    </xf>
    <xf numFmtId="0" fontId="6" fillId="14" borderId="4" xfId="5" applyFont="1" applyFill="1" applyBorder="1" applyAlignment="1">
      <alignment horizontal="center" vertical="center" wrapText="1"/>
    </xf>
    <xf numFmtId="0" fontId="22" fillId="14" borderId="4" xfId="5" applyFont="1" applyFill="1" applyBorder="1" applyAlignment="1">
      <alignment horizontal="center" vertical="center" wrapText="1"/>
    </xf>
    <xf numFmtId="0" fontId="6" fillId="7" borderId="4" xfId="5" applyNumberFormat="1" applyFont="1" applyFill="1" applyBorder="1" applyAlignment="1">
      <alignment horizontal="center" vertical="center" wrapText="1"/>
    </xf>
    <xf numFmtId="166" fontId="6" fillId="14" borderId="4" xfId="5" applyNumberFormat="1" applyFont="1" applyFill="1" applyBorder="1" applyAlignment="1">
      <alignment horizontal="center" vertical="center" wrapText="1"/>
    </xf>
    <xf numFmtId="0" fontId="10" fillId="14" borderId="4" xfId="5" applyFont="1" applyFill="1" applyBorder="1" applyAlignment="1">
      <alignment horizontal="center" vertical="center" wrapText="1"/>
    </xf>
    <xf numFmtId="2" fontId="6" fillId="11" borderId="4" xfId="5" applyNumberFormat="1" applyFont="1" applyFill="1" applyBorder="1" applyAlignment="1">
      <alignment horizontal="center" vertical="center" wrapText="1"/>
    </xf>
    <xf numFmtId="4" fontId="6" fillId="14" borderId="4" xfId="5" applyNumberFormat="1" applyFont="1" applyFill="1" applyBorder="1" applyAlignment="1">
      <alignment horizontal="center" vertical="center" wrapText="1"/>
    </xf>
    <xf numFmtId="2" fontId="6" fillId="14" borderId="4" xfId="5" applyNumberFormat="1" applyFont="1" applyFill="1" applyBorder="1" applyAlignment="1">
      <alignment horizontal="center" vertical="center" wrapText="1"/>
    </xf>
    <xf numFmtId="4" fontId="6" fillId="11" borderId="4" xfId="5" applyNumberFormat="1" applyFont="1" applyFill="1" applyBorder="1" applyAlignment="1">
      <alignment horizontal="center" vertical="center" wrapText="1"/>
    </xf>
    <xf numFmtId="4" fontId="6" fillId="10" borderId="1" xfId="5" applyNumberFormat="1" applyFont="1" applyFill="1" applyBorder="1" applyAlignment="1">
      <alignment horizontal="center" vertical="center" wrapText="1"/>
    </xf>
    <xf numFmtId="0" fontId="31" fillId="2" borderId="4" xfId="5" applyFont="1" applyFill="1" applyBorder="1" applyAlignment="1">
      <alignment horizontal="center" vertical="center" wrapText="1"/>
    </xf>
    <xf numFmtId="0" fontId="6" fillId="7" borderId="1" xfId="5" applyFont="1" applyFill="1" applyBorder="1" applyAlignment="1">
      <alignment horizontal="center" vertical="center" wrapText="1"/>
    </xf>
    <xf numFmtId="0" fontId="22" fillId="7" borderId="1" xfId="5" applyFont="1" applyFill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 vertical="center" wrapText="1"/>
    </xf>
    <xf numFmtId="0" fontId="22" fillId="4" borderId="1" xfId="5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4" fontId="29" fillId="2" borderId="4" xfId="5" applyNumberFormat="1" applyFont="1" applyFill="1" applyBorder="1" applyAlignment="1">
      <alignment horizontal="center" vertical="center" wrapText="1"/>
    </xf>
    <xf numFmtId="4" fontId="6" fillId="7" borderId="1" xfId="5" applyNumberFormat="1" applyFont="1" applyFill="1" applyBorder="1" applyAlignment="1">
      <alignment horizontal="center" vertical="center" wrapText="1"/>
    </xf>
    <xf numFmtId="2" fontId="6" fillId="7" borderId="1" xfId="5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4" fontId="6" fillId="7" borderId="0" xfId="5" applyNumberFormat="1" applyFont="1" applyFill="1" applyBorder="1" applyAlignment="1">
      <alignment horizontal="center" vertical="center" wrapText="1"/>
    </xf>
    <xf numFmtId="4" fontId="19" fillId="7" borderId="0" xfId="5" applyNumberFormat="1" applyFont="1" applyFill="1" applyAlignment="1">
      <alignment horizontal="center"/>
    </xf>
    <xf numFmtId="4" fontId="6" fillId="7" borderId="3" xfId="5" applyNumberFormat="1" applyFont="1" applyFill="1" applyBorder="1" applyAlignment="1">
      <alignment horizontal="center" vertical="center" wrapText="1"/>
    </xf>
    <xf numFmtId="4" fontId="6" fillId="6" borderId="1" xfId="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2" fontId="6" fillId="7" borderId="3" xfId="5" applyNumberFormat="1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0" fontId="32" fillId="2" borderId="4" xfId="5" applyFont="1" applyFill="1" applyBorder="1" applyAlignment="1">
      <alignment horizontal="center" vertical="center" wrapText="1"/>
    </xf>
    <xf numFmtId="0" fontId="32" fillId="2" borderId="1" xfId="5" applyFont="1" applyFill="1" applyBorder="1" applyAlignment="1">
      <alignment horizontal="center" vertical="center" wrapText="1"/>
    </xf>
    <xf numFmtId="0" fontId="22" fillId="10" borderId="1" xfId="5" applyFont="1" applyFill="1" applyBorder="1" applyAlignment="1">
      <alignment horizontal="center" vertical="center" wrapText="1"/>
    </xf>
    <xf numFmtId="0" fontId="22" fillId="7" borderId="9" xfId="5" applyFont="1" applyFill="1" applyBorder="1" applyAlignment="1">
      <alignment horizontal="center" vertical="center" wrapText="1"/>
    </xf>
    <xf numFmtId="0" fontId="6" fillId="7" borderId="9" xfId="5" applyFont="1" applyFill="1" applyBorder="1" applyAlignment="1">
      <alignment horizontal="center" vertical="center" wrapText="1"/>
    </xf>
    <xf numFmtId="166" fontId="6" fillId="7" borderId="9" xfId="5" applyNumberFormat="1" applyFont="1" applyFill="1" applyBorder="1" applyAlignment="1">
      <alignment horizontal="center" vertical="center" wrapText="1"/>
    </xf>
    <xf numFmtId="0" fontId="6" fillId="7" borderId="10" xfId="5" applyFont="1" applyFill="1" applyBorder="1" applyAlignment="1">
      <alignment horizontal="center" vertical="center" wrapText="1"/>
    </xf>
    <xf numFmtId="2" fontId="6" fillId="6" borderId="1" xfId="5" applyNumberFormat="1" applyFont="1" applyFill="1" applyBorder="1" applyAlignment="1">
      <alignment horizontal="center" vertical="center" wrapText="1"/>
    </xf>
    <xf numFmtId="4" fontId="6" fillId="7" borderId="1" xfId="5" applyNumberFormat="1" applyFont="1" applyFill="1" applyBorder="1" applyAlignment="1">
      <alignment horizontal="center" vertical="center"/>
    </xf>
    <xf numFmtId="4" fontId="6" fillId="7" borderId="4" xfId="5" applyNumberFormat="1" applyFont="1" applyFill="1" applyBorder="1" applyAlignment="1">
      <alignment horizontal="center" vertical="center"/>
    </xf>
    <xf numFmtId="0" fontId="22" fillId="2" borderId="0" xfId="5" applyFont="1" applyFill="1" applyBorder="1" applyAlignment="1">
      <alignment horizontal="center" vertical="center" wrapText="1"/>
    </xf>
    <xf numFmtId="0" fontId="22" fillId="2" borderId="0" xfId="5" applyFont="1" applyFill="1" applyAlignment="1">
      <alignment horizontal="left"/>
    </xf>
    <xf numFmtId="0" fontId="22" fillId="2" borderId="0" xfId="5" applyFont="1" applyFill="1" applyAlignment="1"/>
    <xf numFmtId="0" fontId="3" fillId="2" borderId="0" xfId="5" applyFont="1" applyFill="1" applyAlignment="1">
      <alignment horizontal="center"/>
    </xf>
    <xf numFmtId="0" fontId="20" fillId="2" borderId="0" xfId="5" applyFont="1" applyFill="1" applyAlignment="1">
      <alignment horizontal="center" vertical="center" wrapText="1"/>
    </xf>
    <xf numFmtId="0" fontId="20" fillId="2" borderId="0" xfId="5" applyFont="1" applyFill="1" applyAlignment="1">
      <alignment horizontal="center"/>
    </xf>
    <xf numFmtId="0" fontId="20" fillId="2" borderId="0" xfId="5" applyFont="1" applyFill="1" applyAlignment="1">
      <alignment horizontal="left"/>
    </xf>
    <xf numFmtId="0" fontId="20" fillId="2" borderId="0" xfId="5" applyFont="1" applyFill="1" applyAlignment="1">
      <alignment horizontal="left" vertical="center" wrapText="1"/>
    </xf>
    <xf numFmtId="0" fontId="20" fillId="2" borderId="0" xfId="5" applyFont="1" applyFill="1" applyAlignment="1">
      <alignment horizontal="center" vertical="center"/>
    </xf>
    <xf numFmtId="0" fontId="19" fillId="2" borderId="8" xfId="5" applyFont="1" applyFill="1" applyBorder="1" applyAlignment="1">
      <alignment horizontal="center" vertical="center"/>
    </xf>
    <xf numFmtId="0" fontId="19" fillId="2" borderId="8" xfId="5" applyFont="1" applyFill="1" applyBorder="1" applyAlignment="1"/>
    <xf numFmtId="0" fontId="19" fillId="2" borderId="8" xfId="5" applyFont="1" applyFill="1" applyBorder="1" applyAlignment="1">
      <alignment horizontal="center" vertical="center" wrapText="1"/>
    </xf>
    <xf numFmtId="0" fontId="19" fillId="2" borderId="8" xfId="5" applyFont="1" applyFill="1" applyBorder="1" applyAlignment="1">
      <alignment horizontal="center"/>
    </xf>
    <xf numFmtId="4" fontId="20" fillId="2" borderId="0" xfId="5" applyNumberFormat="1" applyFont="1" applyFill="1" applyAlignment="1"/>
    <xf numFmtId="2" fontId="20" fillId="2" borderId="0" xfId="5" applyNumberFormat="1" applyFont="1" applyFill="1" applyAlignment="1"/>
    <xf numFmtId="4" fontId="20" fillId="2" borderId="0" xfId="5" applyNumberFormat="1" applyFont="1" applyFill="1" applyAlignment="1">
      <alignment horizontal="center"/>
    </xf>
    <xf numFmtId="2" fontId="3" fillId="2" borderId="0" xfId="5" applyNumberFormat="1" applyFont="1" applyFill="1" applyAlignment="1">
      <alignment horizontal="left"/>
    </xf>
    <xf numFmtId="4" fontId="20" fillId="2" borderId="0" xfId="5" applyNumberFormat="1" applyFont="1" applyFill="1" applyAlignment="1">
      <alignment horizontal="left"/>
    </xf>
    <xf numFmtId="2" fontId="20" fillId="2" borderId="0" xfId="5" applyNumberFormat="1" applyFont="1" applyFill="1" applyAlignment="1">
      <alignment horizontal="left"/>
    </xf>
    <xf numFmtId="2" fontId="3" fillId="2" borderId="0" xfId="5" applyNumberFormat="1" applyFont="1" applyFill="1" applyAlignment="1"/>
    <xf numFmtId="4" fontId="19" fillId="2" borderId="8" xfId="5" applyNumberFormat="1" applyFont="1" applyFill="1" applyBorder="1" applyAlignment="1"/>
    <xf numFmtId="2" fontId="19" fillId="2" borderId="8" xfId="5" applyNumberFormat="1" applyFont="1" applyFill="1" applyBorder="1" applyAlignment="1"/>
    <xf numFmtId="4" fontId="19" fillId="2" borderId="8" xfId="5" applyNumberFormat="1" applyFont="1" applyFill="1" applyBorder="1" applyAlignment="1">
      <alignment horizontal="center"/>
    </xf>
    <xf numFmtId="4" fontId="19" fillId="2" borderId="0" xfId="5" applyNumberFormat="1" applyFont="1" applyFill="1" applyAlignment="1"/>
    <xf numFmtId="2" fontId="19" fillId="2" borderId="0" xfId="5" applyNumberFormat="1" applyFont="1" applyFill="1" applyAlignment="1"/>
    <xf numFmtId="0" fontId="15" fillId="2" borderId="0" xfId="5" applyFont="1" applyFill="1" applyBorder="1" applyAlignment="1">
      <alignment horizontal="justify"/>
    </xf>
    <xf numFmtId="0" fontId="15" fillId="2" borderId="0" xfId="5" applyFont="1" applyFill="1" applyAlignment="1"/>
    <xf numFmtId="0" fontId="15" fillId="2" borderId="0" xfId="5" applyFont="1" applyFill="1" applyAlignment="1">
      <alignment horizontal="left"/>
    </xf>
    <xf numFmtId="4" fontId="15" fillId="2" borderId="0" xfId="5" applyNumberFormat="1" applyFont="1" applyFill="1" applyAlignment="1">
      <alignment horizontal="center"/>
    </xf>
    <xf numFmtId="0" fontId="15" fillId="2" borderId="0" xfId="5" applyFont="1" applyFill="1" applyBorder="1" applyAlignment="1">
      <alignment horizontal="center" vertical="center" wrapText="1"/>
    </xf>
    <xf numFmtId="0" fontId="15" fillId="2" borderId="0" xfId="5" applyFont="1" applyFill="1" applyBorder="1" applyAlignment="1">
      <alignment horizontal="left" vertical="center" wrapText="1"/>
    </xf>
    <xf numFmtId="4" fontId="15" fillId="2" borderId="4" xfId="5" applyNumberFormat="1" applyFont="1" applyFill="1" applyBorder="1" applyAlignment="1">
      <alignment horizontal="center" vertical="center" wrapText="1"/>
    </xf>
    <xf numFmtId="1" fontId="15" fillId="2" borderId="4" xfId="5" applyNumberFormat="1" applyFont="1" applyFill="1" applyBorder="1" applyAlignment="1">
      <alignment horizontal="center" vertical="center" wrapText="1"/>
    </xf>
    <xf numFmtId="0" fontId="15" fillId="15" borderId="4" xfId="5" applyFont="1" applyFill="1" applyBorder="1" applyAlignment="1">
      <alignment horizontal="center" vertical="center" wrapText="1"/>
    </xf>
    <xf numFmtId="0" fontId="15" fillId="15" borderId="4" xfId="5" applyFont="1" applyFill="1" applyBorder="1" applyAlignment="1">
      <alignment horizontal="left" vertical="center" wrapText="1"/>
    </xf>
    <xf numFmtId="0" fontId="15" fillId="2" borderId="4" xfId="5" applyFont="1" applyFill="1" applyBorder="1" applyAlignment="1">
      <alignment horizontal="left" vertical="center" wrapText="1"/>
    </xf>
    <xf numFmtId="1" fontId="15" fillId="15" borderId="4" xfId="5" applyNumberFormat="1" applyFont="1" applyFill="1" applyBorder="1" applyAlignment="1">
      <alignment horizontal="center" vertical="center" wrapText="1"/>
    </xf>
    <xf numFmtId="0" fontId="15" fillId="3" borderId="4" xfId="5" applyFont="1" applyFill="1" applyBorder="1" applyAlignment="1">
      <alignment horizontal="left" vertical="center" wrapText="1"/>
    </xf>
    <xf numFmtId="4" fontId="15" fillId="3" borderId="4" xfId="5" applyNumberFormat="1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/>
    </xf>
    <xf numFmtId="4" fontId="15" fillId="2" borderId="1" xfId="5" applyNumberFormat="1" applyFont="1" applyFill="1" applyBorder="1" applyAlignment="1">
      <alignment horizontal="center"/>
    </xf>
    <xf numFmtId="0" fontId="15" fillId="2" borderId="0" xfId="5" applyFont="1" applyFill="1" applyBorder="1" applyAlignment="1">
      <alignment horizontal="right"/>
    </xf>
    <xf numFmtId="0" fontId="15" fillId="2" borderId="0" xfId="5" applyFont="1" applyFill="1" applyBorder="1" applyAlignment="1">
      <alignment horizontal="center"/>
    </xf>
    <xf numFmtId="0" fontId="15" fillId="16" borderId="4" xfId="5" applyFont="1" applyFill="1" applyBorder="1" applyAlignment="1">
      <alignment horizontal="center" vertical="center" wrapText="1"/>
    </xf>
    <xf numFmtId="4" fontId="25" fillId="2" borderId="4" xfId="5" applyNumberFormat="1" applyFont="1" applyFill="1" applyBorder="1" applyAlignment="1">
      <alignment horizontal="center" vertical="center" wrapText="1"/>
    </xf>
    <xf numFmtId="0" fontId="15" fillId="3" borderId="1" xfId="5" applyFont="1" applyFill="1" applyBorder="1" applyAlignment="1">
      <alignment horizontal="left" vertical="center" wrapText="1"/>
    </xf>
    <xf numFmtId="4" fontId="15" fillId="2" borderId="1" xfId="5" applyNumberFormat="1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left" vertical="center" wrapText="1"/>
    </xf>
    <xf numFmtId="4" fontId="15" fillId="2" borderId="0" xfId="5" applyNumberFormat="1" applyFont="1" applyFill="1" applyAlignment="1"/>
    <xf numFmtId="0" fontId="55" fillId="2" borderId="4" xfId="5" applyFont="1" applyFill="1" applyBorder="1" applyAlignment="1">
      <alignment horizontal="center" vertical="center" wrapText="1"/>
    </xf>
    <xf numFmtId="4" fontId="55" fillId="6" borderId="4" xfId="5" applyNumberFormat="1" applyFont="1" applyFill="1" applyBorder="1" applyAlignment="1">
      <alignment horizontal="center" vertical="center" wrapText="1"/>
    </xf>
    <xf numFmtId="2" fontId="56" fillId="2" borderId="4" xfId="5" applyNumberFormat="1" applyFont="1" applyFill="1" applyBorder="1" applyAlignment="1">
      <alignment horizontal="center" vertical="center" wrapText="1"/>
    </xf>
    <xf numFmtId="0" fontId="15" fillId="17" borderId="4" xfId="5" applyFont="1" applyFill="1" applyBorder="1" applyAlignment="1">
      <alignment horizontal="center" vertical="center" wrapText="1"/>
    </xf>
    <xf numFmtId="2" fontId="56" fillId="0" borderId="4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3" xfId="0" applyFont="1" applyBorder="1" applyAlignment="1">
      <alignment vertical="center" wrapText="1"/>
    </xf>
    <xf numFmtId="0" fontId="56" fillId="2" borderId="0" xfId="0" applyFont="1" applyFill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>
      <alignment horizontal="left" vertical="center" wrapText="1"/>
    </xf>
    <xf numFmtId="2" fontId="56" fillId="0" borderId="0" xfId="0" applyNumberFormat="1" applyFo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2" borderId="0" xfId="0" applyFont="1" applyFill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2" fontId="57" fillId="0" borderId="0" xfId="0" applyNumberFormat="1" applyFo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56" fillId="2" borderId="4" xfId="0" applyFont="1" applyFill="1" applyBorder="1" applyAlignment="1">
      <alignment horizontal="center" vertical="center" wrapText="1"/>
    </xf>
    <xf numFmtId="1" fontId="56" fillId="0" borderId="4" xfId="0" applyNumberFormat="1" applyFont="1" applyBorder="1" applyAlignment="1">
      <alignment horizontal="center" vertical="center" wrapText="1"/>
    </xf>
    <xf numFmtId="2" fontId="56" fillId="5" borderId="4" xfId="0" applyNumberFormat="1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vertical="center" wrapText="1"/>
    </xf>
    <xf numFmtId="2" fontId="56" fillId="0" borderId="1" xfId="0" applyNumberFormat="1" applyFont="1" applyBorder="1" applyAlignment="1">
      <alignment horizontal="center" vertical="center" wrapText="1"/>
    </xf>
    <xf numFmtId="0" fontId="56" fillId="2" borderId="9" xfId="0" applyFont="1" applyFill="1" applyBorder="1" applyAlignment="1">
      <alignment vertical="center" wrapText="1"/>
    </xf>
    <xf numFmtId="2" fontId="56" fillId="0" borderId="3" xfId="0" applyNumberFormat="1" applyFont="1" applyBorder="1" applyAlignment="1">
      <alignment horizontal="center" vertical="center" wrapText="1"/>
    </xf>
    <xf numFmtId="2" fontId="56" fillId="5" borderId="3" xfId="0" applyNumberFormat="1" applyFont="1" applyFill="1" applyBorder="1" applyAlignment="1">
      <alignment horizontal="center" vertical="center" wrapText="1"/>
    </xf>
    <xf numFmtId="2" fontId="56" fillId="5" borderId="1" xfId="0" applyNumberFormat="1" applyFont="1" applyFill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left" vertical="center" wrapText="1"/>
    </xf>
    <xf numFmtId="0" fontId="56" fillId="2" borderId="3" xfId="0" applyFont="1" applyFill="1" applyBorder="1" applyAlignment="1">
      <alignment horizontal="left" vertical="center" wrapText="1"/>
    </xf>
    <xf numFmtId="0" fontId="57" fillId="2" borderId="8" xfId="0" applyFont="1" applyFill="1" applyBorder="1">
      <alignment horizontal="left" vertical="center" wrapText="1"/>
    </xf>
    <xf numFmtId="0" fontId="56" fillId="5" borderId="3" xfId="0" applyFont="1" applyFill="1" applyBorder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2" fontId="56" fillId="5" borderId="4" xfId="0" applyNumberFormat="1" applyFont="1" applyFill="1" applyBorder="1" applyAlignment="1">
      <alignment horizontal="center" vertical="center" wrapText="1"/>
    </xf>
    <xf numFmtId="2" fontId="60" fillId="0" borderId="0" xfId="0" applyNumberFormat="1" applyFont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9" xfId="0" applyFont="1" applyBorder="1" applyAlignment="1">
      <alignment horizontal="left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6" fillId="2" borderId="9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56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56" fillId="5" borderId="4" xfId="0" applyFont="1" applyFill="1" applyBorder="1" applyAlignment="1">
      <alignment horizontal="left" vertical="center" wrapText="1"/>
    </xf>
    <xf numFmtId="0" fontId="56" fillId="5" borderId="4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6" fillId="5" borderId="1" xfId="0" applyFont="1" applyFill="1" applyBorder="1" applyAlignment="1">
      <alignment horizontal="center" vertical="center" wrapText="1"/>
    </xf>
    <xf numFmtId="0" fontId="56" fillId="5" borderId="3" xfId="0" applyFont="1" applyFill="1" applyBorder="1" applyAlignment="1">
      <alignment horizontal="center" vertical="center" wrapText="1"/>
    </xf>
    <xf numFmtId="2" fontId="56" fillId="5" borderId="4" xfId="0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59" fillId="0" borderId="0" xfId="0" applyFont="1" applyAlignment="1">
      <alignment horizontal="center" vertical="center" wrapText="1"/>
    </xf>
    <xf numFmtId="0" fontId="15" fillId="2" borderId="0" xfId="5" applyFont="1" applyFill="1" applyAlignment="1">
      <alignment horizontal="center"/>
    </xf>
    <xf numFmtId="0" fontId="3" fillId="2" borderId="0" xfId="5" applyFont="1" applyFill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2" xfId="0" applyFont="1" applyBorder="1" applyAlignment="1">
      <alignment horizontal="left" wrapText="1"/>
    </xf>
    <xf numFmtId="0" fontId="3" fillId="2" borderId="0" xfId="5" applyFont="1" applyFill="1" applyAlignment="1">
      <alignment horizontal="left"/>
    </xf>
    <xf numFmtId="0" fontId="6" fillId="2" borderId="0" xfId="5" applyFont="1" applyFill="1" applyAlignment="1">
      <alignment horizont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left" vertical="top" wrapText="1"/>
    </xf>
    <xf numFmtId="0" fontId="17" fillId="2" borderId="0" xfId="5" applyFont="1" applyFill="1" applyAlignment="1">
      <alignment horizontal="left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textRotation="90" wrapText="1"/>
    </xf>
    <xf numFmtId="0" fontId="6" fillId="2" borderId="3" xfId="5" applyFont="1" applyFill="1" applyBorder="1" applyAlignment="1">
      <alignment horizontal="center" vertical="center" textRotation="90" wrapText="1"/>
    </xf>
    <xf numFmtId="0" fontId="6" fillId="6" borderId="4" xfId="5" applyFont="1" applyFill="1" applyBorder="1" applyAlignment="1">
      <alignment horizontal="center" vertical="center" wrapText="1"/>
    </xf>
    <xf numFmtId="0" fontId="17" fillId="2" borderId="0" xfId="5" applyFont="1" applyFill="1" applyAlignment="1">
      <alignment horizontal="left"/>
    </xf>
    <xf numFmtId="0" fontId="17" fillId="2" borderId="0" xfId="5" applyFont="1" applyFill="1" applyAlignment="1">
      <alignment horizontal="left" vertical="top" wrapText="1"/>
    </xf>
    <xf numFmtId="0" fontId="17" fillId="2" borderId="0" xfId="5" applyFont="1" applyFill="1" applyAlignment="1">
      <alignment horizontal="left" vertical="top"/>
    </xf>
    <xf numFmtId="0" fontId="7" fillId="2" borderId="2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6" borderId="4" xfId="5" applyFont="1" applyFill="1" applyBorder="1" applyAlignment="1">
      <alignment horizontal="center" vertical="center" wrapText="1"/>
    </xf>
    <xf numFmtId="0" fontId="8" fillId="2" borderId="0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 vertical="center" wrapText="1"/>
    </xf>
    <xf numFmtId="4" fontId="6" fillId="2" borderId="2" xfId="5" applyNumberFormat="1" applyFont="1" applyFill="1" applyBorder="1" applyAlignment="1">
      <alignment horizontal="center" vertical="center" wrapText="1"/>
    </xf>
    <xf numFmtId="4" fontId="6" fillId="2" borderId="5" xfId="5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16" fontId="12" fillId="0" borderId="4" xfId="0" applyNumberFormat="1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7">
    <cellStyle name="ex66" xfId="15"/>
    <cellStyle name="Excel Built-in Normal" xfId="16"/>
    <cellStyle name="S6" xfId="17"/>
    <cellStyle name="Денежный 2" xfId="18"/>
    <cellStyle name="Обычный" xfId="0" builtinId="0"/>
    <cellStyle name="Обычный 10 10" xfId="8"/>
    <cellStyle name="Обычный 11 4" xfId="12"/>
    <cellStyle name="Обычный 2" xfId="13"/>
    <cellStyle name="Обычный 2 2" xfId="2"/>
    <cellStyle name="Обычный 3" xfId="5"/>
    <cellStyle name="Обычный 3 2" xfId="6"/>
    <cellStyle name="Обычный 4" xfId="1"/>
    <cellStyle name="Обычный 5" xfId="3"/>
    <cellStyle name="Обычный 6" xfId="7"/>
    <cellStyle name="Обычный 7" xfId="9"/>
    <cellStyle name="Обычный 8" xfId="10"/>
    <cellStyle name="Обычный 9" xfId="19"/>
    <cellStyle name="Примечание 2" xfId="20"/>
    <cellStyle name="Примечание 2 2" xfId="21"/>
    <cellStyle name="Примечание 2 2 2" xfId="22"/>
    <cellStyle name="Примечание 2 3" xfId="23"/>
    <cellStyle name="Примечание 3" xfId="11"/>
    <cellStyle name="Примечание 3 2" xfId="14"/>
    <cellStyle name="Примечание 4" xfId="4"/>
    <cellStyle name="Финансовый 2" xfId="24"/>
    <cellStyle name="Финансовый 3" xfId="25"/>
    <cellStyle name="Финансовый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89"/>
  <sheetViews>
    <sheetView tabSelected="1" view="pageBreakPreview" zoomScale="90" zoomScaleNormal="100" zoomScaleSheetLayoutView="90" zoomScalePageLayoutView="80" workbookViewId="0">
      <selection activeCell="D4" sqref="D4:E4"/>
    </sheetView>
  </sheetViews>
  <sheetFormatPr defaultColWidth="9" defaultRowHeight="13.2" x14ac:dyDescent="0.25"/>
  <cols>
    <col min="1" max="1" width="8.44140625" style="294" customWidth="1"/>
    <col min="2" max="2" width="35.5546875" style="284" customWidth="1"/>
    <col min="3" max="3" width="15.6640625" style="295" customWidth="1"/>
    <col min="4" max="4" width="47.5546875" style="294" customWidth="1"/>
    <col min="5" max="5" width="37.21875" style="296" customWidth="1"/>
    <col min="6" max="6" width="10.44140625" style="291" bestFit="1" customWidth="1"/>
    <col min="7" max="16384" width="9" style="291"/>
  </cols>
  <sheetData>
    <row r="1" spans="1:15" ht="16.95" customHeight="1" x14ac:dyDescent="0.35">
      <c r="A1" s="289"/>
      <c r="B1" s="313"/>
      <c r="C1" s="290"/>
      <c r="D1" s="344" t="s">
        <v>0</v>
      </c>
      <c r="E1" s="344"/>
      <c r="K1" s="345"/>
      <c r="L1" s="345"/>
      <c r="M1" s="345"/>
      <c r="N1" s="345"/>
      <c r="O1" s="345"/>
    </row>
    <row r="2" spans="1:15" ht="16.95" customHeight="1" x14ac:dyDescent="0.35">
      <c r="A2" s="289"/>
      <c r="B2" s="313"/>
      <c r="C2" s="290"/>
      <c r="D2" s="344" t="s">
        <v>1</v>
      </c>
      <c r="E2" s="344"/>
      <c r="K2" s="345"/>
      <c r="L2" s="345"/>
      <c r="M2" s="345"/>
      <c r="N2" s="345"/>
      <c r="O2" s="345"/>
    </row>
    <row r="3" spans="1:15" ht="16.95" customHeight="1" x14ac:dyDescent="0.35">
      <c r="A3" s="289"/>
      <c r="B3" s="313"/>
      <c r="C3" s="290"/>
      <c r="D3" s="344" t="s">
        <v>2</v>
      </c>
      <c r="E3" s="344"/>
      <c r="K3" s="345"/>
      <c r="L3" s="345"/>
      <c r="M3" s="345"/>
      <c r="N3" s="345"/>
      <c r="O3" s="345"/>
    </row>
    <row r="4" spans="1:15" ht="16.95" customHeight="1" x14ac:dyDescent="0.35">
      <c r="A4" s="289"/>
      <c r="B4" s="313"/>
      <c r="C4" s="290"/>
      <c r="D4" s="344" t="s">
        <v>872</v>
      </c>
      <c r="E4" s="344"/>
      <c r="K4" s="345"/>
      <c r="L4" s="345"/>
      <c r="M4" s="345"/>
      <c r="N4" s="345"/>
      <c r="O4" s="345"/>
    </row>
    <row r="5" spans="1:15" ht="13.05" customHeight="1" x14ac:dyDescent="0.25">
      <c r="A5" s="289"/>
      <c r="B5" s="313"/>
      <c r="C5" s="290"/>
      <c r="D5" s="289"/>
      <c r="E5" s="292"/>
    </row>
    <row r="6" spans="1:15" ht="13.05" customHeight="1" x14ac:dyDescent="0.25">
      <c r="A6" s="289"/>
      <c r="B6" s="313"/>
      <c r="C6" s="290"/>
      <c r="D6" s="289"/>
      <c r="E6" s="292"/>
    </row>
    <row r="7" spans="1:15" ht="16.95" customHeight="1" x14ac:dyDescent="0.25">
      <c r="A7" s="340" t="s">
        <v>4</v>
      </c>
      <c r="B7" s="340"/>
      <c r="C7" s="340"/>
      <c r="D7" s="340"/>
      <c r="E7" s="340"/>
      <c r="F7" s="293"/>
      <c r="G7" s="293"/>
      <c r="H7" s="293"/>
      <c r="I7" s="293"/>
      <c r="J7" s="293"/>
    </row>
    <row r="8" spans="1:15" ht="16.95" customHeight="1" x14ac:dyDescent="0.25">
      <c r="A8" s="340" t="s">
        <v>5</v>
      </c>
      <c r="B8" s="340"/>
      <c r="C8" s="340"/>
      <c r="D8" s="340"/>
      <c r="E8" s="340"/>
      <c r="F8" s="293"/>
      <c r="G8" s="293"/>
      <c r="H8" s="293"/>
      <c r="I8" s="293"/>
      <c r="J8" s="293"/>
    </row>
    <row r="9" spans="1:15" ht="16.95" customHeight="1" x14ac:dyDescent="0.25">
      <c r="A9" s="340" t="s">
        <v>6</v>
      </c>
      <c r="B9" s="340"/>
      <c r="C9" s="340"/>
      <c r="D9" s="340"/>
      <c r="E9" s="340"/>
      <c r="F9" s="293"/>
      <c r="G9" s="293"/>
      <c r="H9" s="293"/>
      <c r="I9" s="293"/>
      <c r="J9" s="293"/>
    </row>
    <row r="10" spans="1:15" ht="16.95" customHeight="1" x14ac:dyDescent="0.25">
      <c r="A10" s="340" t="s">
        <v>7</v>
      </c>
      <c r="B10" s="340"/>
      <c r="C10" s="340"/>
      <c r="D10" s="340"/>
      <c r="E10" s="340"/>
      <c r="F10" s="293"/>
      <c r="G10" s="293"/>
      <c r="H10" s="293"/>
      <c r="I10" s="293"/>
      <c r="J10" s="293"/>
    </row>
    <row r="11" spans="1:15" ht="16.95" customHeight="1" x14ac:dyDescent="0.25">
      <c r="A11" s="340" t="s">
        <v>8</v>
      </c>
      <c r="B11" s="340"/>
      <c r="C11" s="340"/>
      <c r="D11" s="340"/>
      <c r="E11" s="340"/>
      <c r="F11" s="293"/>
      <c r="G11" s="293"/>
      <c r="H11" s="293"/>
      <c r="I11" s="293"/>
      <c r="J11" s="293"/>
    </row>
    <row r="12" spans="1:15" ht="13.05" customHeight="1" x14ac:dyDescent="0.25"/>
    <row r="13" spans="1:15" ht="100.2" customHeight="1" x14ac:dyDescent="0.25">
      <c r="A13" s="329" t="s">
        <v>9</v>
      </c>
      <c r="B13" s="341" t="s">
        <v>10</v>
      </c>
      <c r="C13" s="339" t="s">
        <v>11</v>
      </c>
      <c r="D13" s="329" t="s">
        <v>12</v>
      </c>
      <c r="E13" s="343" t="s">
        <v>13</v>
      </c>
      <c r="F13" s="297"/>
    </row>
    <row r="14" spans="1:15" ht="13.8" hidden="1" customHeight="1" x14ac:dyDescent="0.25">
      <c r="A14" s="329"/>
      <c r="B14" s="342"/>
      <c r="C14" s="339"/>
      <c r="D14" s="329"/>
      <c r="E14" s="343"/>
      <c r="F14" s="297"/>
    </row>
    <row r="15" spans="1:15" ht="17.25" customHeight="1" x14ac:dyDescent="0.25">
      <c r="A15" s="315">
        <v>1</v>
      </c>
      <c r="B15" s="314">
        <v>2</v>
      </c>
      <c r="C15" s="314">
        <v>3</v>
      </c>
      <c r="D15" s="315">
        <v>4</v>
      </c>
      <c r="E15" s="299">
        <v>5</v>
      </c>
      <c r="F15" s="297"/>
    </row>
    <row r="16" spans="1:15" ht="17.25" customHeight="1" x14ac:dyDescent="0.25">
      <c r="A16" s="326">
        <v>1</v>
      </c>
      <c r="B16" s="323" t="s">
        <v>14</v>
      </c>
      <c r="C16" s="319" t="s">
        <v>15</v>
      </c>
      <c r="D16" s="308" t="s">
        <v>16</v>
      </c>
      <c r="E16" s="282">
        <v>3702831.57</v>
      </c>
      <c r="F16" s="297"/>
    </row>
    <row r="17" spans="1:6" ht="17.25" customHeight="1" x14ac:dyDescent="0.25">
      <c r="A17" s="327"/>
      <c r="B17" s="324"/>
      <c r="C17" s="322"/>
      <c r="D17" s="308" t="s">
        <v>17</v>
      </c>
      <c r="E17" s="282">
        <v>151890.07999999999</v>
      </c>
      <c r="F17" s="297"/>
    </row>
    <row r="18" spans="1:6" ht="17.25" customHeight="1" x14ac:dyDescent="0.25">
      <c r="A18" s="328"/>
      <c r="B18" s="325"/>
      <c r="C18" s="320"/>
      <c r="D18" s="308" t="s">
        <v>18</v>
      </c>
      <c r="E18" s="282">
        <v>3854721.65</v>
      </c>
      <c r="F18" s="297"/>
    </row>
    <row r="19" spans="1:6" ht="17.25" customHeight="1" x14ac:dyDescent="0.25">
      <c r="A19" s="326">
        <v>2</v>
      </c>
      <c r="B19" s="323" t="s">
        <v>14</v>
      </c>
      <c r="C19" s="319" t="s">
        <v>19</v>
      </c>
      <c r="D19" s="308" t="s">
        <v>16</v>
      </c>
      <c r="E19" s="282">
        <v>7405663.1399999997</v>
      </c>
      <c r="F19" s="297"/>
    </row>
    <row r="20" spans="1:6" ht="17.25" customHeight="1" x14ac:dyDescent="0.25">
      <c r="A20" s="327"/>
      <c r="B20" s="324"/>
      <c r="C20" s="322"/>
      <c r="D20" s="308" t="s">
        <v>17</v>
      </c>
      <c r="E20" s="282">
        <v>303780.15999999997</v>
      </c>
      <c r="F20" s="297"/>
    </row>
    <row r="21" spans="1:6" ht="17.25" customHeight="1" x14ac:dyDescent="0.25">
      <c r="A21" s="328"/>
      <c r="B21" s="325"/>
      <c r="C21" s="320"/>
      <c r="D21" s="308" t="s">
        <v>18</v>
      </c>
      <c r="E21" s="282">
        <v>7709443.2999999998</v>
      </c>
      <c r="F21" s="297"/>
    </row>
    <row r="22" spans="1:6" ht="16.95" customHeight="1" x14ac:dyDescent="0.25">
      <c r="A22" s="326">
        <v>3</v>
      </c>
      <c r="B22" s="323" t="s">
        <v>14</v>
      </c>
      <c r="C22" s="319" t="s">
        <v>20</v>
      </c>
      <c r="D22" s="308" t="s">
        <v>16</v>
      </c>
      <c r="E22" s="282">
        <v>1851415.78</v>
      </c>
      <c r="F22" s="297"/>
    </row>
    <row r="23" spans="1:6" ht="16.95" customHeight="1" x14ac:dyDescent="0.25">
      <c r="A23" s="327"/>
      <c r="B23" s="324"/>
      <c r="C23" s="322"/>
      <c r="D23" s="308" t="s">
        <v>17</v>
      </c>
      <c r="E23" s="282">
        <v>75945.039999999994</v>
      </c>
      <c r="F23" s="297"/>
    </row>
    <row r="24" spans="1:6" ht="16.95" customHeight="1" x14ac:dyDescent="0.25">
      <c r="A24" s="328"/>
      <c r="B24" s="325"/>
      <c r="C24" s="320"/>
      <c r="D24" s="308" t="s">
        <v>18</v>
      </c>
      <c r="E24" s="282">
        <v>1927360.82</v>
      </c>
      <c r="F24" s="297"/>
    </row>
    <row r="25" spans="1:6" ht="16.95" customHeight="1" x14ac:dyDescent="0.25">
      <c r="A25" s="326">
        <v>4</v>
      </c>
      <c r="B25" s="323" t="s">
        <v>14</v>
      </c>
      <c r="C25" s="319" t="s">
        <v>21</v>
      </c>
      <c r="D25" s="308" t="s">
        <v>22</v>
      </c>
      <c r="E25" s="282">
        <v>4754302.4800000004</v>
      </c>
      <c r="F25" s="297"/>
    </row>
    <row r="26" spans="1:6" ht="16.95" customHeight="1" x14ac:dyDescent="0.25">
      <c r="A26" s="328"/>
      <c r="B26" s="325"/>
      <c r="C26" s="320"/>
      <c r="D26" s="308" t="s">
        <v>16</v>
      </c>
      <c r="E26" s="282">
        <v>7405663.1399999997</v>
      </c>
      <c r="F26" s="297"/>
    </row>
    <row r="27" spans="1:6" ht="17.25" customHeight="1" x14ac:dyDescent="0.25">
      <c r="A27" s="315">
        <v>1</v>
      </c>
      <c r="B27" s="314">
        <v>2</v>
      </c>
      <c r="C27" s="314">
        <v>3</v>
      </c>
      <c r="D27" s="315">
        <v>4</v>
      </c>
      <c r="E27" s="299">
        <v>5</v>
      </c>
      <c r="F27" s="297"/>
    </row>
    <row r="28" spans="1:6" ht="16.95" customHeight="1" x14ac:dyDescent="0.25">
      <c r="A28" s="329"/>
      <c r="B28" s="330"/>
      <c r="C28" s="330"/>
      <c r="D28" s="308" t="s">
        <v>17</v>
      </c>
      <c r="E28" s="282">
        <v>551780.16</v>
      </c>
      <c r="F28" s="297"/>
    </row>
    <row r="29" spans="1:6" ht="16.95" customHeight="1" x14ac:dyDescent="0.25">
      <c r="A29" s="329"/>
      <c r="B29" s="330"/>
      <c r="C29" s="330"/>
      <c r="D29" s="308" t="s">
        <v>18</v>
      </c>
      <c r="E29" s="282">
        <v>12711745.779999999</v>
      </c>
      <c r="F29" s="297"/>
    </row>
    <row r="30" spans="1:6" ht="16.95" customHeight="1" x14ac:dyDescent="0.25">
      <c r="A30" s="326">
        <v>5</v>
      </c>
      <c r="B30" s="321" t="s">
        <v>23</v>
      </c>
      <c r="C30" s="330">
        <v>2</v>
      </c>
      <c r="D30" s="308" t="s">
        <v>24</v>
      </c>
      <c r="E30" s="282">
        <v>8274424.8600000003</v>
      </c>
      <c r="F30" s="297"/>
    </row>
    <row r="31" spans="1:6" ht="16.95" customHeight="1" x14ac:dyDescent="0.25">
      <c r="A31" s="327"/>
      <c r="B31" s="321"/>
      <c r="C31" s="330"/>
      <c r="D31" s="308" t="s">
        <v>17</v>
      </c>
      <c r="E31" s="282">
        <v>466942.1</v>
      </c>
      <c r="F31" s="297"/>
    </row>
    <row r="32" spans="1:6" ht="16.95" customHeight="1" x14ac:dyDescent="0.25">
      <c r="A32" s="328"/>
      <c r="B32" s="321"/>
      <c r="C32" s="330"/>
      <c r="D32" s="308" t="s">
        <v>18</v>
      </c>
      <c r="E32" s="282" t="s">
        <v>25</v>
      </c>
      <c r="F32" s="297"/>
    </row>
    <row r="33" spans="1:6" ht="16.95" customHeight="1" x14ac:dyDescent="0.25">
      <c r="A33" s="326">
        <v>6</v>
      </c>
      <c r="B33" s="323" t="s">
        <v>23</v>
      </c>
      <c r="C33" s="319">
        <v>28</v>
      </c>
      <c r="D33" s="308" t="s">
        <v>26</v>
      </c>
      <c r="E33" s="282">
        <v>465992.84</v>
      </c>
      <c r="F33" s="297"/>
    </row>
    <row r="34" spans="1:6" ht="16.95" customHeight="1" x14ac:dyDescent="0.25">
      <c r="A34" s="327"/>
      <c r="B34" s="324"/>
      <c r="C34" s="322"/>
      <c r="D34" s="308" t="s">
        <v>27</v>
      </c>
      <c r="E34" s="282">
        <v>2218277.17</v>
      </c>
      <c r="F34" s="297"/>
    </row>
    <row r="35" spans="1:6" ht="16.95" customHeight="1" x14ac:dyDescent="0.25">
      <c r="A35" s="327"/>
      <c r="B35" s="324"/>
      <c r="C35" s="322"/>
      <c r="D35" s="308" t="s">
        <v>28</v>
      </c>
      <c r="E35" s="316">
        <v>452638.79</v>
      </c>
      <c r="F35" s="297"/>
    </row>
    <row r="36" spans="1:6" ht="16.95" customHeight="1" x14ac:dyDescent="0.25">
      <c r="A36" s="327"/>
      <c r="B36" s="324"/>
      <c r="C36" s="322"/>
      <c r="D36" s="308" t="s">
        <v>29</v>
      </c>
      <c r="E36" s="316">
        <v>498576.42</v>
      </c>
      <c r="F36" s="297"/>
    </row>
    <row r="37" spans="1:6" ht="16.95" customHeight="1" x14ac:dyDescent="0.25">
      <c r="A37" s="327"/>
      <c r="B37" s="324"/>
      <c r="C37" s="322"/>
      <c r="D37" s="308" t="s">
        <v>30</v>
      </c>
      <c r="E37" s="316">
        <v>768107.44</v>
      </c>
      <c r="F37" s="297"/>
    </row>
    <row r="38" spans="1:6" ht="16.95" customHeight="1" x14ac:dyDescent="0.25">
      <c r="A38" s="327"/>
      <c r="B38" s="324"/>
      <c r="C38" s="322"/>
      <c r="D38" s="308" t="s">
        <v>24</v>
      </c>
      <c r="E38" s="316">
        <v>6537367.29</v>
      </c>
      <c r="F38" s="297"/>
    </row>
    <row r="39" spans="1:6" ht="16.95" customHeight="1" x14ac:dyDescent="0.25">
      <c r="A39" s="327"/>
      <c r="B39" s="324"/>
      <c r="C39" s="322"/>
      <c r="D39" s="308" t="s">
        <v>31</v>
      </c>
      <c r="E39" s="316">
        <v>4900694.5599999996</v>
      </c>
      <c r="F39" s="297"/>
    </row>
    <row r="40" spans="1:6" ht="16.95" customHeight="1" x14ac:dyDescent="0.25">
      <c r="A40" s="327"/>
      <c r="B40" s="324"/>
      <c r="C40" s="322"/>
      <c r="D40" s="308" t="s">
        <v>32</v>
      </c>
      <c r="E40" s="316">
        <v>399817.36</v>
      </c>
      <c r="F40" s="297"/>
    </row>
    <row r="41" spans="1:6" ht="16.95" customHeight="1" x14ac:dyDescent="0.25">
      <c r="A41" s="328"/>
      <c r="B41" s="325"/>
      <c r="C41" s="320"/>
      <c r="D41" s="308" t="s">
        <v>18</v>
      </c>
      <c r="E41" s="316">
        <v>16241471.869999999</v>
      </c>
      <c r="F41" s="297"/>
    </row>
    <row r="42" spans="1:6" ht="16.95" customHeight="1" x14ac:dyDescent="0.25">
      <c r="A42" s="326">
        <v>7</v>
      </c>
      <c r="B42" s="337" t="s">
        <v>863</v>
      </c>
      <c r="C42" s="330">
        <v>59</v>
      </c>
      <c r="D42" s="308" t="s">
        <v>33</v>
      </c>
      <c r="E42" s="316">
        <v>1323903.43</v>
      </c>
      <c r="F42" s="297"/>
    </row>
    <row r="43" spans="1:6" ht="16.95" customHeight="1" x14ac:dyDescent="0.25">
      <c r="A43" s="328"/>
      <c r="B43" s="321"/>
      <c r="C43" s="330"/>
      <c r="D43" s="308" t="s">
        <v>18</v>
      </c>
      <c r="E43" s="316">
        <v>1323903.43</v>
      </c>
      <c r="F43" s="297"/>
    </row>
    <row r="44" spans="1:6" ht="16.95" customHeight="1" x14ac:dyDescent="0.25">
      <c r="A44" s="326">
        <v>8</v>
      </c>
      <c r="B44" s="323" t="s">
        <v>34</v>
      </c>
      <c r="C44" s="319">
        <v>71</v>
      </c>
      <c r="D44" s="308" t="s">
        <v>22</v>
      </c>
      <c r="E44" s="282">
        <v>2377151.2400000002</v>
      </c>
      <c r="F44" s="297"/>
    </row>
    <row r="45" spans="1:6" ht="16.95" customHeight="1" x14ac:dyDescent="0.25">
      <c r="A45" s="327"/>
      <c r="B45" s="324"/>
      <c r="C45" s="322"/>
      <c r="D45" s="308" t="s">
        <v>17</v>
      </c>
      <c r="E45" s="282">
        <v>124000</v>
      </c>
      <c r="F45" s="297"/>
    </row>
    <row r="46" spans="1:6" ht="16.95" customHeight="1" x14ac:dyDescent="0.25">
      <c r="A46" s="328"/>
      <c r="B46" s="325"/>
      <c r="C46" s="320"/>
      <c r="D46" s="308" t="s">
        <v>18</v>
      </c>
      <c r="E46" s="282">
        <v>2501151.2400000002</v>
      </c>
      <c r="F46" s="297"/>
    </row>
    <row r="47" spans="1:6" ht="16.95" customHeight="1" x14ac:dyDescent="0.25">
      <c r="A47" s="326">
        <v>9</v>
      </c>
      <c r="B47" s="323" t="s">
        <v>34</v>
      </c>
      <c r="C47" s="319">
        <v>73</v>
      </c>
      <c r="D47" s="308" t="s">
        <v>22</v>
      </c>
      <c r="E47" s="282">
        <v>2377151.2400000002</v>
      </c>
      <c r="F47" s="297"/>
    </row>
    <row r="48" spans="1:6" ht="16.95" customHeight="1" x14ac:dyDescent="0.25">
      <c r="A48" s="327"/>
      <c r="B48" s="324"/>
      <c r="C48" s="322"/>
      <c r="D48" s="308" t="s">
        <v>17</v>
      </c>
      <c r="E48" s="282">
        <v>124000</v>
      </c>
      <c r="F48" s="297"/>
    </row>
    <row r="49" spans="1:6" ht="16.95" customHeight="1" x14ac:dyDescent="0.25">
      <c r="A49" s="328"/>
      <c r="B49" s="325"/>
      <c r="C49" s="320"/>
      <c r="D49" s="308" t="s">
        <v>18</v>
      </c>
      <c r="E49" s="282">
        <v>2501151.2400000002</v>
      </c>
      <c r="F49" s="297"/>
    </row>
    <row r="50" spans="1:6" ht="16.95" customHeight="1" x14ac:dyDescent="0.25">
      <c r="A50" s="326">
        <v>10</v>
      </c>
      <c r="B50" s="323" t="s">
        <v>34</v>
      </c>
      <c r="C50" s="319">
        <v>80</v>
      </c>
      <c r="D50" s="308" t="s">
        <v>22</v>
      </c>
      <c r="E50" s="282">
        <v>2377151.2400000002</v>
      </c>
      <c r="F50" s="297"/>
    </row>
    <row r="51" spans="1:6" ht="16.95" customHeight="1" x14ac:dyDescent="0.25">
      <c r="A51" s="327"/>
      <c r="B51" s="324"/>
      <c r="C51" s="322"/>
      <c r="D51" s="308" t="s">
        <v>17</v>
      </c>
      <c r="E51" s="282">
        <v>124000</v>
      </c>
      <c r="F51" s="297"/>
    </row>
    <row r="52" spans="1:6" ht="16.95" customHeight="1" x14ac:dyDescent="0.25">
      <c r="A52" s="328"/>
      <c r="B52" s="325"/>
      <c r="C52" s="320"/>
      <c r="D52" s="308" t="s">
        <v>18</v>
      </c>
      <c r="E52" s="282">
        <v>2501151.2400000002</v>
      </c>
      <c r="F52" s="297"/>
    </row>
    <row r="53" spans="1:6" ht="16.95" customHeight="1" x14ac:dyDescent="0.25">
      <c r="A53" s="326">
        <v>11</v>
      </c>
      <c r="B53" s="323" t="s">
        <v>34</v>
      </c>
      <c r="C53" s="319">
        <v>82</v>
      </c>
      <c r="D53" s="308" t="s">
        <v>22</v>
      </c>
      <c r="E53" s="282">
        <v>2377151.2400000002</v>
      </c>
      <c r="F53" s="297"/>
    </row>
    <row r="54" spans="1:6" ht="16.95" customHeight="1" x14ac:dyDescent="0.25">
      <c r="A54" s="327"/>
      <c r="B54" s="324"/>
      <c r="C54" s="322"/>
      <c r="D54" s="308" t="s">
        <v>17</v>
      </c>
      <c r="E54" s="282">
        <v>124000</v>
      </c>
      <c r="F54" s="297"/>
    </row>
    <row r="55" spans="1:6" ht="16.95" customHeight="1" x14ac:dyDescent="0.25">
      <c r="A55" s="328"/>
      <c r="B55" s="325"/>
      <c r="C55" s="320"/>
      <c r="D55" s="308" t="s">
        <v>18</v>
      </c>
      <c r="E55" s="282">
        <v>2501151.2400000002</v>
      </c>
      <c r="F55" s="297"/>
    </row>
    <row r="56" spans="1:6" ht="17.25" customHeight="1" x14ac:dyDescent="0.25">
      <c r="A56" s="315">
        <v>1</v>
      </c>
      <c r="B56" s="314">
        <v>2</v>
      </c>
      <c r="C56" s="314">
        <v>3</v>
      </c>
      <c r="D56" s="315">
        <v>4</v>
      </c>
      <c r="E56" s="299">
        <v>5</v>
      </c>
      <c r="F56" s="297"/>
    </row>
    <row r="57" spans="1:6" ht="16.95" customHeight="1" x14ac:dyDescent="0.25">
      <c r="A57" s="326">
        <v>12</v>
      </c>
      <c r="B57" s="323" t="s">
        <v>34</v>
      </c>
      <c r="C57" s="319">
        <v>88</v>
      </c>
      <c r="D57" s="308" t="s">
        <v>22</v>
      </c>
      <c r="E57" s="282">
        <v>2377151.2400000002</v>
      </c>
      <c r="F57" s="297"/>
    </row>
    <row r="58" spans="1:6" ht="16.95" customHeight="1" x14ac:dyDescent="0.25">
      <c r="A58" s="327"/>
      <c r="B58" s="324"/>
      <c r="C58" s="322"/>
      <c r="D58" s="308" t="s">
        <v>17</v>
      </c>
      <c r="E58" s="282">
        <v>124000</v>
      </c>
      <c r="F58" s="297"/>
    </row>
    <row r="59" spans="1:6" ht="16.95" customHeight="1" x14ac:dyDescent="0.25">
      <c r="A59" s="328"/>
      <c r="B59" s="325"/>
      <c r="C59" s="320"/>
      <c r="D59" s="308" t="s">
        <v>18</v>
      </c>
      <c r="E59" s="282">
        <v>2501151.2400000002</v>
      </c>
      <c r="F59" s="297"/>
    </row>
    <row r="60" spans="1:6" ht="16.95" customHeight="1" x14ac:dyDescent="0.25">
      <c r="A60" s="326">
        <v>13</v>
      </c>
      <c r="B60" s="323" t="s">
        <v>34</v>
      </c>
      <c r="C60" s="319">
        <v>89</v>
      </c>
      <c r="D60" s="308" t="s">
        <v>22</v>
      </c>
      <c r="E60" s="282">
        <v>2377151.2400000002</v>
      </c>
      <c r="F60" s="297"/>
    </row>
    <row r="61" spans="1:6" ht="16.95" customHeight="1" x14ac:dyDescent="0.25">
      <c r="A61" s="327"/>
      <c r="B61" s="324"/>
      <c r="C61" s="322"/>
      <c r="D61" s="308" t="s">
        <v>17</v>
      </c>
      <c r="E61" s="282">
        <v>124000</v>
      </c>
      <c r="F61" s="297"/>
    </row>
    <row r="62" spans="1:6" ht="16.95" customHeight="1" x14ac:dyDescent="0.25">
      <c r="A62" s="328"/>
      <c r="B62" s="325"/>
      <c r="C62" s="320"/>
      <c r="D62" s="308" t="s">
        <v>18</v>
      </c>
      <c r="E62" s="282">
        <v>2501151.2400000002</v>
      </c>
      <c r="F62" s="297"/>
    </row>
    <row r="63" spans="1:6" ht="16.95" customHeight="1" x14ac:dyDescent="0.25">
      <c r="A63" s="326">
        <v>14</v>
      </c>
      <c r="B63" s="323" t="s">
        <v>35</v>
      </c>
      <c r="C63" s="319">
        <v>26</v>
      </c>
      <c r="D63" s="308" t="s">
        <v>22</v>
      </c>
      <c r="E63" s="282">
        <v>2377151.2400000002</v>
      </c>
      <c r="F63" s="297"/>
    </row>
    <row r="64" spans="1:6" ht="16.95" customHeight="1" x14ac:dyDescent="0.25">
      <c r="A64" s="327"/>
      <c r="B64" s="324"/>
      <c r="C64" s="322"/>
      <c r="D64" s="308" t="s">
        <v>17</v>
      </c>
      <c r="E64" s="282">
        <v>124000</v>
      </c>
      <c r="F64" s="297"/>
    </row>
    <row r="65" spans="1:6" ht="16.95" customHeight="1" x14ac:dyDescent="0.25">
      <c r="A65" s="328"/>
      <c r="B65" s="325"/>
      <c r="C65" s="320"/>
      <c r="D65" s="308" t="s">
        <v>18</v>
      </c>
      <c r="E65" s="282">
        <v>2501151.2400000002</v>
      </c>
      <c r="F65" s="297"/>
    </row>
    <row r="66" spans="1:6" ht="16.95" customHeight="1" x14ac:dyDescent="0.25">
      <c r="A66" s="326">
        <v>15</v>
      </c>
      <c r="B66" s="323" t="s">
        <v>35</v>
      </c>
      <c r="C66" s="319">
        <v>28</v>
      </c>
      <c r="D66" s="308" t="s">
        <v>22</v>
      </c>
      <c r="E66" s="282">
        <v>2377151.2400000002</v>
      </c>
      <c r="F66" s="297"/>
    </row>
    <row r="67" spans="1:6" ht="16.95" customHeight="1" x14ac:dyDescent="0.25">
      <c r="A67" s="327"/>
      <c r="B67" s="324"/>
      <c r="C67" s="322"/>
      <c r="D67" s="308" t="s">
        <v>17</v>
      </c>
      <c r="E67" s="282">
        <v>124000</v>
      </c>
      <c r="F67" s="297"/>
    </row>
    <row r="68" spans="1:6" ht="16.95" customHeight="1" x14ac:dyDescent="0.25">
      <c r="A68" s="328"/>
      <c r="B68" s="325"/>
      <c r="C68" s="320"/>
      <c r="D68" s="308" t="s">
        <v>18</v>
      </c>
      <c r="E68" s="282">
        <v>2501151.2400000002</v>
      </c>
      <c r="F68" s="297"/>
    </row>
    <row r="69" spans="1:6" ht="16.95" customHeight="1" x14ac:dyDescent="0.25">
      <c r="A69" s="326">
        <v>16</v>
      </c>
      <c r="B69" s="323" t="s">
        <v>35</v>
      </c>
      <c r="C69" s="319" t="s">
        <v>36</v>
      </c>
      <c r="D69" s="308" t="s">
        <v>22</v>
      </c>
      <c r="E69" s="282">
        <v>2377151.2400000002</v>
      </c>
      <c r="F69" s="297"/>
    </row>
    <row r="70" spans="1:6" ht="16.95" customHeight="1" x14ac:dyDescent="0.25">
      <c r="A70" s="327"/>
      <c r="B70" s="324"/>
      <c r="C70" s="322"/>
      <c r="D70" s="308" t="s">
        <v>17</v>
      </c>
      <c r="E70" s="282">
        <v>124000</v>
      </c>
      <c r="F70" s="297"/>
    </row>
    <row r="71" spans="1:6" ht="16.95" customHeight="1" x14ac:dyDescent="0.25">
      <c r="A71" s="328"/>
      <c r="B71" s="325"/>
      <c r="C71" s="320"/>
      <c r="D71" s="308" t="s">
        <v>18</v>
      </c>
      <c r="E71" s="282">
        <v>2501151.2400000002</v>
      </c>
      <c r="F71" s="297"/>
    </row>
    <row r="72" spans="1:6" ht="16.95" customHeight="1" x14ac:dyDescent="0.25">
      <c r="A72" s="326">
        <v>17</v>
      </c>
      <c r="B72" s="323" t="s">
        <v>35</v>
      </c>
      <c r="C72" s="319" t="s">
        <v>37</v>
      </c>
      <c r="D72" s="308" t="s">
        <v>22</v>
      </c>
      <c r="E72" s="282">
        <v>2377151.2400000002</v>
      </c>
      <c r="F72" s="297"/>
    </row>
    <row r="73" spans="1:6" ht="16.95" customHeight="1" x14ac:dyDescent="0.25">
      <c r="A73" s="327"/>
      <c r="B73" s="324"/>
      <c r="C73" s="322"/>
      <c r="D73" s="308" t="s">
        <v>17</v>
      </c>
      <c r="E73" s="282">
        <v>124000</v>
      </c>
      <c r="F73" s="297"/>
    </row>
    <row r="74" spans="1:6" ht="16.95" customHeight="1" x14ac:dyDescent="0.25">
      <c r="A74" s="328"/>
      <c r="B74" s="325"/>
      <c r="C74" s="320"/>
      <c r="D74" s="308" t="s">
        <v>18</v>
      </c>
      <c r="E74" s="282">
        <v>2501151.2400000002</v>
      </c>
      <c r="F74" s="297"/>
    </row>
    <row r="75" spans="1:6" ht="16.95" customHeight="1" x14ac:dyDescent="0.25">
      <c r="A75" s="326">
        <v>18</v>
      </c>
      <c r="B75" s="323" t="s">
        <v>35</v>
      </c>
      <c r="C75" s="319" t="s">
        <v>38</v>
      </c>
      <c r="D75" s="308" t="s">
        <v>22</v>
      </c>
      <c r="E75" s="282">
        <v>2377151.2400000002</v>
      </c>
      <c r="F75" s="297"/>
    </row>
    <row r="76" spans="1:6" ht="16.95" customHeight="1" x14ac:dyDescent="0.25">
      <c r="A76" s="327"/>
      <c r="B76" s="324"/>
      <c r="C76" s="322"/>
      <c r="D76" s="308" t="s">
        <v>17</v>
      </c>
      <c r="E76" s="282">
        <v>124000</v>
      </c>
      <c r="F76" s="297"/>
    </row>
    <row r="77" spans="1:6" ht="16.95" customHeight="1" x14ac:dyDescent="0.25">
      <c r="A77" s="328"/>
      <c r="B77" s="325"/>
      <c r="C77" s="320"/>
      <c r="D77" s="308" t="s">
        <v>18</v>
      </c>
      <c r="E77" s="282">
        <v>2501151.2400000002</v>
      </c>
      <c r="F77" s="297"/>
    </row>
    <row r="78" spans="1:6" ht="16.95" customHeight="1" x14ac:dyDescent="0.25">
      <c r="A78" s="326">
        <v>19</v>
      </c>
      <c r="B78" s="323" t="s">
        <v>35</v>
      </c>
      <c r="C78" s="319" t="s">
        <v>39</v>
      </c>
      <c r="D78" s="308" t="s">
        <v>22</v>
      </c>
      <c r="E78" s="282">
        <v>2377151.2400000002</v>
      </c>
      <c r="F78" s="297"/>
    </row>
    <row r="79" spans="1:6" ht="16.95" customHeight="1" x14ac:dyDescent="0.25">
      <c r="A79" s="327"/>
      <c r="B79" s="324"/>
      <c r="C79" s="322"/>
      <c r="D79" s="309" t="s">
        <v>17</v>
      </c>
      <c r="E79" s="302">
        <v>124000</v>
      </c>
      <c r="F79" s="297"/>
    </row>
    <row r="80" spans="1:6" ht="16.95" customHeight="1" x14ac:dyDescent="0.25">
      <c r="A80" s="328"/>
      <c r="B80" s="325"/>
      <c r="C80" s="320"/>
      <c r="D80" s="308" t="s">
        <v>18</v>
      </c>
      <c r="E80" s="282">
        <v>2501151.2400000002</v>
      </c>
      <c r="F80" s="297"/>
    </row>
    <row r="81" spans="1:6" ht="16.95" customHeight="1" x14ac:dyDescent="0.25">
      <c r="A81" s="326">
        <v>20</v>
      </c>
      <c r="B81" s="323" t="s">
        <v>35</v>
      </c>
      <c r="C81" s="319" t="s">
        <v>40</v>
      </c>
      <c r="D81" s="308" t="s">
        <v>22</v>
      </c>
      <c r="E81" s="282">
        <v>2377151.2400000002</v>
      </c>
      <c r="F81" s="297"/>
    </row>
    <row r="82" spans="1:6" ht="16.95" customHeight="1" x14ac:dyDescent="0.25">
      <c r="A82" s="327"/>
      <c r="B82" s="324"/>
      <c r="C82" s="322"/>
      <c r="D82" s="308" t="s">
        <v>17</v>
      </c>
      <c r="E82" s="282">
        <v>124000</v>
      </c>
      <c r="F82" s="297"/>
    </row>
    <row r="83" spans="1:6" ht="16.95" customHeight="1" x14ac:dyDescent="0.25">
      <c r="A83" s="328"/>
      <c r="B83" s="325"/>
      <c r="C83" s="320"/>
      <c r="D83" s="308" t="s">
        <v>18</v>
      </c>
      <c r="E83" s="282">
        <v>2501151.2400000002</v>
      </c>
      <c r="F83" s="297"/>
    </row>
    <row r="84" spans="1:6" ht="16.95" customHeight="1" x14ac:dyDescent="0.25">
      <c r="A84" s="315">
        <v>21</v>
      </c>
      <c r="B84" s="286" t="s">
        <v>35</v>
      </c>
      <c r="C84" s="314">
        <v>36</v>
      </c>
      <c r="D84" s="308" t="s">
        <v>22</v>
      </c>
      <c r="E84" s="282">
        <v>2377151.2400000002</v>
      </c>
      <c r="F84" s="297"/>
    </row>
    <row r="85" spans="1:6" ht="17.25" customHeight="1" x14ac:dyDescent="0.25">
      <c r="A85" s="315">
        <v>1</v>
      </c>
      <c r="B85" s="314">
        <v>2</v>
      </c>
      <c r="C85" s="314">
        <v>3</v>
      </c>
      <c r="D85" s="315">
        <v>4</v>
      </c>
      <c r="E85" s="299">
        <v>5</v>
      </c>
      <c r="F85" s="297"/>
    </row>
    <row r="86" spans="1:6" ht="16.95" customHeight="1" x14ac:dyDescent="0.25">
      <c r="A86" s="326"/>
      <c r="B86" s="319"/>
      <c r="C86" s="319"/>
      <c r="D86" s="308" t="s">
        <v>17</v>
      </c>
      <c r="E86" s="282">
        <v>124000</v>
      </c>
      <c r="F86" s="297"/>
    </row>
    <row r="87" spans="1:6" ht="16.95" customHeight="1" x14ac:dyDescent="0.25">
      <c r="A87" s="328"/>
      <c r="B87" s="320"/>
      <c r="C87" s="320"/>
      <c r="D87" s="308" t="s">
        <v>18</v>
      </c>
      <c r="E87" s="282">
        <v>2501151.2400000002</v>
      </c>
      <c r="F87" s="297"/>
    </row>
    <row r="88" spans="1:6" ht="16.95" customHeight="1" x14ac:dyDescent="0.25">
      <c r="A88" s="326">
        <v>22</v>
      </c>
      <c r="B88" s="323" t="s">
        <v>35</v>
      </c>
      <c r="C88" s="319">
        <v>38</v>
      </c>
      <c r="D88" s="308" t="s">
        <v>22</v>
      </c>
      <c r="E88" s="282">
        <v>2377151.2400000002</v>
      </c>
      <c r="F88" s="297"/>
    </row>
    <row r="89" spans="1:6" ht="16.95" customHeight="1" x14ac:dyDescent="0.25">
      <c r="A89" s="327"/>
      <c r="B89" s="324"/>
      <c r="C89" s="322"/>
      <c r="D89" s="308" t="s">
        <v>17</v>
      </c>
      <c r="E89" s="282">
        <v>124000</v>
      </c>
      <c r="F89" s="297"/>
    </row>
    <row r="90" spans="1:6" ht="16.95" customHeight="1" x14ac:dyDescent="0.25">
      <c r="A90" s="328"/>
      <c r="B90" s="325"/>
      <c r="C90" s="320"/>
      <c r="D90" s="308" t="s">
        <v>18</v>
      </c>
      <c r="E90" s="282">
        <v>2501151.2400000002</v>
      </c>
      <c r="F90" s="297"/>
    </row>
    <row r="91" spans="1:6" ht="16.95" customHeight="1" x14ac:dyDescent="0.25">
      <c r="A91" s="326">
        <v>23</v>
      </c>
      <c r="B91" s="323" t="s">
        <v>35</v>
      </c>
      <c r="C91" s="319">
        <v>40</v>
      </c>
      <c r="D91" s="308" t="s">
        <v>22</v>
      </c>
      <c r="E91" s="282">
        <v>2377151.2400000002</v>
      </c>
      <c r="F91" s="297"/>
    </row>
    <row r="92" spans="1:6" ht="16.95" customHeight="1" x14ac:dyDescent="0.25">
      <c r="A92" s="327"/>
      <c r="B92" s="324"/>
      <c r="C92" s="322"/>
      <c r="D92" s="308" t="s">
        <v>17</v>
      </c>
      <c r="E92" s="282">
        <v>124000</v>
      </c>
      <c r="F92" s="297"/>
    </row>
    <row r="93" spans="1:6" ht="16.95" customHeight="1" x14ac:dyDescent="0.25">
      <c r="A93" s="328"/>
      <c r="B93" s="325"/>
      <c r="C93" s="320"/>
      <c r="D93" s="308" t="s">
        <v>18</v>
      </c>
      <c r="E93" s="282">
        <v>2501151.2400000002</v>
      </c>
      <c r="F93" s="297"/>
    </row>
    <row r="94" spans="1:6" ht="16.95" customHeight="1" x14ac:dyDescent="0.25">
      <c r="A94" s="326">
        <v>24</v>
      </c>
      <c r="B94" s="323" t="s">
        <v>41</v>
      </c>
      <c r="C94" s="319">
        <v>3</v>
      </c>
      <c r="D94" s="308" t="s">
        <v>22</v>
      </c>
      <c r="E94" s="282">
        <v>2377151.2400000002</v>
      </c>
      <c r="F94" s="297"/>
    </row>
    <row r="95" spans="1:6" ht="16.95" customHeight="1" x14ac:dyDescent="0.25">
      <c r="A95" s="327"/>
      <c r="B95" s="324"/>
      <c r="C95" s="322"/>
      <c r="D95" s="308" t="s">
        <v>17</v>
      </c>
      <c r="E95" s="282">
        <v>124000</v>
      </c>
      <c r="F95" s="297"/>
    </row>
    <row r="96" spans="1:6" ht="16.95" customHeight="1" x14ac:dyDescent="0.25">
      <c r="A96" s="328"/>
      <c r="B96" s="325"/>
      <c r="C96" s="320"/>
      <c r="D96" s="308" t="s">
        <v>18</v>
      </c>
      <c r="E96" s="282">
        <v>2501151.2400000002</v>
      </c>
      <c r="F96" s="297"/>
    </row>
    <row r="97" spans="1:6" ht="16.95" customHeight="1" x14ac:dyDescent="0.25">
      <c r="A97" s="326">
        <v>25</v>
      </c>
      <c r="B97" s="323" t="s">
        <v>41</v>
      </c>
      <c r="C97" s="319">
        <v>5</v>
      </c>
      <c r="D97" s="308" t="s">
        <v>22</v>
      </c>
      <c r="E97" s="282">
        <v>2377151.2400000002</v>
      </c>
      <c r="F97" s="297"/>
    </row>
    <row r="98" spans="1:6" ht="16.95" customHeight="1" x14ac:dyDescent="0.25">
      <c r="A98" s="327"/>
      <c r="B98" s="324"/>
      <c r="C98" s="322"/>
      <c r="D98" s="308" t="s">
        <v>17</v>
      </c>
      <c r="E98" s="282">
        <v>124000</v>
      </c>
      <c r="F98" s="297"/>
    </row>
    <row r="99" spans="1:6" ht="16.95" customHeight="1" x14ac:dyDescent="0.25">
      <c r="A99" s="328"/>
      <c r="B99" s="325"/>
      <c r="C99" s="320"/>
      <c r="D99" s="308" t="s">
        <v>18</v>
      </c>
      <c r="E99" s="282">
        <v>2501151.2400000002</v>
      </c>
      <c r="F99" s="297"/>
    </row>
    <row r="100" spans="1:6" ht="16.95" customHeight="1" x14ac:dyDescent="0.25">
      <c r="A100" s="326">
        <v>26</v>
      </c>
      <c r="B100" s="323" t="s">
        <v>41</v>
      </c>
      <c r="C100" s="319">
        <v>9</v>
      </c>
      <c r="D100" s="308" t="s">
        <v>22</v>
      </c>
      <c r="E100" s="282">
        <v>2377151.2400000002</v>
      </c>
      <c r="F100" s="297"/>
    </row>
    <row r="101" spans="1:6" ht="16.95" customHeight="1" x14ac:dyDescent="0.25">
      <c r="A101" s="327"/>
      <c r="B101" s="324"/>
      <c r="C101" s="322"/>
      <c r="D101" s="308" t="s">
        <v>17</v>
      </c>
      <c r="E101" s="282">
        <v>124000</v>
      </c>
      <c r="F101" s="297"/>
    </row>
    <row r="102" spans="1:6" ht="16.95" customHeight="1" x14ac:dyDescent="0.25">
      <c r="A102" s="328"/>
      <c r="B102" s="325"/>
      <c r="C102" s="320"/>
      <c r="D102" s="308" t="s">
        <v>18</v>
      </c>
      <c r="E102" s="282">
        <v>2501151.2400000002</v>
      </c>
      <c r="F102" s="297"/>
    </row>
    <row r="103" spans="1:6" ht="16.95" customHeight="1" x14ac:dyDescent="0.25">
      <c r="A103" s="326">
        <v>27</v>
      </c>
      <c r="B103" s="323" t="s">
        <v>41</v>
      </c>
      <c r="C103" s="319">
        <v>11</v>
      </c>
      <c r="D103" s="308" t="s">
        <v>22</v>
      </c>
      <c r="E103" s="282">
        <v>2377151.2400000002</v>
      </c>
      <c r="F103" s="297"/>
    </row>
    <row r="104" spans="1:6" ht="16.95" customHeight="1" x14ac:dyDescent="0.25">
      <c r="A104" s="327"/>
      <c r="B104" s="324"/>
      <c r="C104" s="322"/>
      <c r="D104" s="308" t="s">
        <v>17</v>
      </c>
      <c r="E104" s="282">
        <v>124000</v>
      </c>
      <c r="F104" s="297"/>
    </row>
    <row r="105" spans="1:6" ht="16.95" customHeight="1" x14ac:dyDescent="0.25">
      <c r="A105" s="328"/>
      <c r="B105" s="325"/>
      <c r="C105" s="320"/>
      <c r="D105" s="308" t="s">
        <v>18</v>
      </c>
      <c r="E105" s="282">
        <v>2501151.2400000002</v>
      </c>
      <c r="F105" s="297"/>
    </row>
    <row r="106" spans="1:6" ht="16.95" customHeight="1" x14ac:dyDescent="0.25">
      <c r="A106" s="326">
        <v>28</v>
      </c>
      <c r="B106" s="323" t="s">
        <v>41</v>
      </c>
      <c r="C106" s="319">
        <v>18</v>
      </c>
      <c r="D106" s="308" t="s">
        <v>22</v>
      </c>
      <c r="E106" s="282">
        <v>2377151.2400000002</v>
      </c>
      <c r="F106" s="297"/>
    </row>
    <row r="107" spans="1:6" ht="16.95" customHeight="1" x14ac:dyDescent="0.25">
      <c r="A107" s="327"/>
      <c r="B107" s="324"/>
      <c r="C107" s="322"/>
      <c r="D107" s="308" t="s">
        <v>17</v>
      </c>
      <c r="E107" s="282">
        <v>124000</v>
      </c>
      <c r="F107" s="297"/>
    </row>
    <row r="108" spans="1:6" ht="16.95" customHeight="1" x14ac:dyDescent="0.25">
      <c r="A108" s="328"/>
      <c r="B108" s="325"/>
      <c r="C108" s="320"/>
      <c r="D108" s="308" t="s">
        <v>18</v>
      </c>
      <c r="E108" s="282">
        <v>2501151.2400000002</v>
      </c>
      <c r="F108" s="297"/>
    </row>
    <row r="109" spans="1:6" ht="16.95" customHeight="1" x14ac:dyDescent="0.25">
      <c r="A109" s="326">
        <v>29</v>
      </c>
      <c r="B109" s="321" t="s">
        <v>41</v>
      </c>
      <c r="C109" s="330" t="s">
        <v>43</v>
      </c>
      <c r="D109" s="308" t="s">
        <v>24</v>
      </c>
      <c r="E109" s="316">
        <v>15638645.640000001</v>
      </c>
      <c r="F109" s="297"/>
    </row>
    <row r="110" spans="1:6" ht="16.95" customHeight="1" x14ac:dyDescent="0.25">
      <c r="A110" s="327"/>
      <c r="B110" s="321"/>
      <c r="C110" s="330"/>
      <c r="D110" s="308" t="s">
        <v>32</v>
      </c>
      <c r="E110" s="316">
        <v>742257.6</v>
      </c>
      <c r="F110" s="297"/>
    </row>
    <row r="111" spans="1:6" ht="16.95" customHeight="1" x14ac:dyDescent="0.25">
      <c r="A111" s="328"/>
      <c r="B111" s="321"/>
      <c r="C111" s="330"/>
      <c r="D111" s="308" t="s">
        <v>18</v>
      </c>
      <c r="E111" s="316">
        <v>16380903.24</v>
      </c>
      <c r="F111" s="297"/>
    </row>
    <row r="112" spans="1:6" ht="16.95" customHeight="1" x14ac:dyDescent="0.25">
      <c r="A112" s="329">
        <v>30</v>
      </c>
      <c r="B112" s="321" t="s">
        <v>42</v>
      </c>
      <c r="C112" s="330">
        <v>4</v>
      </c>
      <c r="D112" s="308" t="s">
        <v>24</v>
      </c>
      <c r="E112" s="282">
        <v>6229365.1500000004</v>
      </c>
      <c r="F112" s="297"/>
    </row>
    <row r="113" spans="1:6" ht="16.95" customHeight="1" x14ac:dyDescent="0.25">
      <c r="A113" s="329"/>
      <c r="B113" s="321"/>
      <c r="C113" s="330"/>
      <c r="D113" s="308" t="s">
        <v>31</v>
      </c>
      <c r="E113" s="282">
        <v>4669802.7699999996</v>
      </c>
      <c r="F113" s="297"/>
    </row>
    <row r="114" spans="1:6" ht="17.25" customHeight="1" x14ac:dyDescent="0.25">
      <c r="A114" s="315">
        <v>1</v>
      </c>
      <c r="B114" s="314">
        <v>2</v>
      </c>
      <c r="C114" s="314">
        <v>3</v>
      </c>
      <c r="D114" s="315">
        <v>4</v>
      </c>
      <c r="E114" s="299">
        <v>5</v>
      </c>
      <c r="F114" s="297"/>
    </row>
    <row r="115" spans="1:6" ht="16.95" customHeight="1" x14ac:dyDescent="0.25">
      <c r="A115" s="326"/>
      <c r="B115" s="319"/>
      <c r="C115" s="319"/>
      <c r="D115" s="308" t="s">
        <v>33</v>
      </c>
      <c r="E115" s="282">
        <v>1006152.31</v>
      </c>
      <c r="F115" s="297"/>
    </row>
    <row r="116" spans="1:6" ht="16.95" customHeight="1" x14ac:dyDescent="0.25">
      <c r="A116" s="327"/>
      <c r="B116" s="322"/>
      <c r="C116" s="322"/>
      <c r="D116" s="308" t="s">
        <v>17</v>
      </c>
      <c r="E116" s="282">
        <v>748788.68</v>
      </c>
      <c r="F116" s="297"/>
    </row>
    <row r="117" spans="1:6" ht="16.95" customHeight="1" x14ac:dyDescent="0.25">
      <c r="A117" s="328"/>
      <c r="B117" s="320"/>
      <c r="C117" s="320"/>
      <c r="D117" s="308" t="s">
        <v>18</v>
      </c>
      <c r="E117" s="280">
        <v>12654108.91</v>
      </c>
      <c r="F117" s="297"/>
    </row>
    <row r="118" spans="1:6" ht="16.95" customHeight="1" x14ac:dyDescent="0.25">
      <c r="A118" s="326">
        <v>31</v>
      </c>
      <c r="B118" s="323" t="s">
        <v>44</v>
      </c>
      <c r="C118" s="319">
        <v>12</v>
      </c>
      <c r="D118" s="308" t="s">
        <v>22</v>
      </c>
      <c r="E118" s="282">
        <v>4754302.4800000004</v>
      </c>
      <c r="F118" s="297"/>
    </row>
    <row r="119" spans="1:6" ht="16.95" customHeight="1" x14ac:dyDescent="0.25">
      <c r="A119" s="327"/>
      <c r="B119" s="324"/>
      <c r="C119" s="322"/>
      <c r="D119" s="308" t="s">
        <v>17</v>
      </c>
      <c r="E119" s="282">
        <v>248000</v>
      </c>
      <c r="F119" s="297"/>
    </row>
    <row r="120" spans="1:6" ht="16.95" customHeight="1" x14ac:dyDescent="0.25">
      <c r="A120" s="328"/>
      <c r="B120" s="325"/>
      <c r="C120" s="320"/>
      <c r="D120" s="308" t="s">
        <v>18</v>
      </c>
      <c r="E120" s="282">
        <v>5002302.4800000004</v>
      </c>
      <c r="F120" s="297"/>
    </row>
    <row r="121" spans="1:6" ht="16.95" customHeight="1" x14ac:dyDescent="0.25">
      <c r="A121" s="326">
        <v>32</v>
      </c>
      <c r="B121" s="321" t="s">
        <v>44</v>
      </c>
      <c r="C121" s="330">
        <v>19</v>
      </c>
      <c r="D121" s="308" t="s">
        <v>24</v>
      </c>
      <c r="E121" s="316">
        <v>10377091.949999999</v>
      </c>
      <c r="F121" s="297"/>
    </row>
    <row r="122" spans="1:6" ht="16.95" customHeight="1" x14ac:dyDescent="0.25">
      <c r="A122" s="327"/>
      <c r="B122" s="321"/>
      <c r="C122" s="330"/>
      <c r="D122" s="308" t="s">
        <v>32</v>
      </c>
      <c r="E122" s="316">
        <v>685877.2</v>
      </c>
      <c r="F122" s="297"/>
    </row>
    <row r="123" spans="1:6" ht="16.95" customHeight="1" x14ac:dyDescent="0.25">
      <c r="A123" s="328"/>
      <c r="B123" s="321"/>
      <c r="C123" s="330"/>
      <c r="D123" s="308" t="s">
        <v>18</v>
      </c>
      <c r="E123" s="316">
        <v>11062969.15</v>
      </c>
      <c r="F123" s="297"/>
    </row>
    <row r="124" spans="1:6" ht="16.95" customHeight="1" x14ac:dyDescent="0.25">
      <c r="A124" s="326">
        <v>33</v>
      </c>
      <c r="B124" s="323" t="s">
        <v>44</v>
      </c>
      <c r="C124" s="319">
        <v>25</v>
      </c>
      <c r="D124" s="308" t="s">
        <v>22</v>
      </c>
      <c r="E124" s="282">
        <v>2377151.2400000002</v>
      </c>
      <c r="F124" s="297"/>
    </row>
    <row r="125" spans="1:6" ht="16.95" customHeight="1" x14ac:dyDescent="0.25">
      <c r="A125" s="327"/>
      <c r="B125" s="324"/>
      <c r="C125" s="322"/>
      <c r="D125" s="308" t="s">
        <v>17</v>
      </c>
      <c r="E125" s="282">
        <v>124000</v>
      </c>
      <c r="F125" s="297"/>
    </row>
    <row r="126" spans="1:6" ht="16.95" customHeight="1" x14ac:dyDescent="0.25">
      <c r="A126" s="328"/>
      <c r="B126" s="325"/>
      <c r="C126" s="320"/>
      <c r="D126" s="308" t="s">
        <v>18</v>
      </c>
      <c r="E126" s="282">
        <v>2501151.2400000002</v>
      </c>
      <c r="F126" s="297"/>
    </row>
    <row r="127" spans="1:6" ht="16.95" customHeight="1" x14ac:dyDescent="0.25">
      <c r="A127" s="326">
        <v>34</v>
      </c>
      <c r="B127" s="323" t="s">
        <v>44</v>
      </c>
      <c r="C127" s="319" t="s">
        <v>45</v>
      </c>
      <c r="D127" s="308" t="s">
        <v>22</v>
      </c>
      <c r="E127" s="282">
        <v>2377151.2400000002</v>
      </c>
      <c r="F127" s="297"/>
    </row>
    <row r="128" spans="1:6" ht="16.95" customHeight="1" x14ac:dyDescent="0.25">
      <c r="A128" s="327"/>
      <c r="B128" s="324"/>
      <c r="C128" s="322"/>
      <c r="D128" s="308" t="s">
        <v>17</v>
      </c>
      <c r="E128" s="282">
        <v>124000</v>
      </c>
      <c r="F128" s="297"/>
    </row>
    <row r="129" spans="1:6" ht="16.95" customHeight="1" x14ac:dyDescent="0.25">
      <c r="A129" s="328"/>
      <c r="B129" s="325"/>
      <c r="C129" s="320"/>
      <c r="D129" s="308" t="s">
        <v>18</v>
      </c>
      <c r="E129" s="282">
        <v>2501151.2400000002</v>
      </c>
      <c r="F129" s="297"/>
    </row>
    <row r="130" spans="1:6" ht="16.95" customHeight="1" x14ac:dyDescent="0.25">
      <c r="A130" s="326">
        <v>35</v>
      </c>
      <c r="B130" s="323" t="s">
        <v>44</v>
      </c>
      <c r="C130" s="319" t="s">
        <v>46</v>
      </c>
      <c r="D130" s="308" t="s">
        <v>22</v>
      </c>
      <c r="E130" s="282">
        <v>4754302.4800000004</v>
      </c>
      <c r="F130" s="297"/>
    </row>
    <row r="131" spans="1:6" ht="16.95" customHeight="1" x14ac:dyDescent="0.25">
      <c r="A131" s="327"/>
      <c r="B131" s="324"/>
      <c r="C131" s="322"/>
      <c r="D131" s="308" t="s">
        <v>17</v>
      </c>
      <c r="E131" s="282">
        <v>248000</v>
      </c>
      <c r="F131" s="297"/>
    </row>
    <row r="132" spans="1:6" ht="16.95" customHeight="1" x14ac:dyDescent="0.25">
      <c r="A132" s="328"/>
      <c r="B132" s="325"/>
      <c r="C132" s="320"/>
      <c r="D132" s="308" t="s">
        <v>18</v>
      </c>
      <c r="E132" s="282">
        <v>5002302.4800000004</v>
      </c>
      <c r="F132" s="297"/>
    </row>
    <row r="133" spans="1:6" ht="16.95" customHeight="1" x14ac:dyDescent="0.25">
      <c r="A133" s="326">
        <v>36</v>
      </c>
      <c r="B133" s="323" t="s">
        <v>44</v>
      </c>
      <c r="C133" s="319" t="s">
        <v>47</v>
      </c>
      <c r="D133" s="308" t="s">
        <v>22</v>
      </c>
      <c r="E133" s="282">
        <v>2377151.2400000002</v>
      </c>
      <c r="F133" s="297"/>
    </row>
    <row r="134" spans="1:6" ht="16.95" customHeight="1" x14ac:dyDescent="0.25">
      <c r="A134" s="327"/>
      <c r="B134" s="324"/>
      <c r="C134" s="322"/>
      <c r="D134" s="308" t="s">
        <v>17</v>
      </c>
      <c r="E134" s="282">
        <v>124000</v>
      </c>
      <c r="F134" s="297"/>
    </row>
    <row r="135" spans="1:6" ht="16.95" customHeight="1" x14ac:dyDescent="0.25">
      <c r="A135" s="328"/>
      <c r="B135" s="325"/>
      <c r="C135" s="320"/>
      <c r="D135" s="308" t="s">
        <v>18</v>
      </c>
      <c r="E135" s="282">
        <v>2501151.2400000002</v>
      </c>
      <c r="F135" s="297"/>
    </row>
    <row r="136" spans="1:6" ht="16.95" customHeight="1" x14ac:dyDescent="0.25">
      <c r="A136" s="326">
        <v>37</v>
      </c>
      <c r="B136" s="323" t="s">
        <v>44</v>
      </c>
      <c r="C136" s="319" t="s">
        <v>48</v>
      </c>
      <c r="D136" s="308" t="s">
        <v>22</v>
      </c>
      <c r="E136" s="282">
        <v>2377151.2400000002</v>
      </c>
      <c r="F136" s="297"/>
    </row>
    <row r="137" spans="1:6" ht="16.95" customHeight="1" x14ac:dyDescent="0.25">
      <c r="A137" s="327"/>
      <c r="B137" s="324"/>
      <c r="C137" s="322"/>
      <c r="D137" s="308" t="s">
        <v>17</v>
      </c>
      <c r="E137" s="282">
        <v>124000</v>
      </c>
      <c r="F137" s="297"/>
    </row>
    <row r="138" spans="1:6" ht="16.95" customHeight="1" x14ac:dyDescent="0.25">
      <c r="A138" s="328"/>
      <c r="B138" s="325"/>
      <c r="C138" s="320"/>
      <c r="D138" s="308" t="s">
        <v>18</v>
      </c>
      <c r="E138" s="282">
        <v>2501151.2400000002</v>
      </c>
      <c r="F138" s="297"/>
    </row>
    <row r="139" spans="1:6" ht="16.95" customHeight="1" x14ac:dyDescent="0.25">
      <c r="A139" s="326">
        <v>38</v>
      </c>
      <c r="B139" s="323" t="s">
        <v>44</v>
      </c>
      <c r="C139" s="319">
        <v>27</v>
      </c>
      <c r="D139" s="308" t="s">
        <v>22</v>
      </c>
      <c r="E139" s="282">
        <v>2377151.2400000002</v>
      </c>
      <c r="F139" s="297"/>
    </row>
    <row r="140" spans="1:6" ht="16.95" customHeight="1" x14ac:dyDescent="0.25">
      <c r="A140" s="327"/>
      <c r="B140" s="324"/>
      <c r="C140" s="322"/>
      <c r="D140" s="308" t="s">
        <v>17</v>
      </c>
      <c r="E140" s="282">
        <v>124000</v>
      </c>
      <c r="F140" s="297"/>
    </row>
    <row r="141" spans="1:6" ht="16.95" customHeight="1" x14ac:dyDescent="0.25">
      <c r="A141" s="328"/>
      <c r="B141" s="325"/>
      <c r="C141" s="320"/>
      <c r="D141" s="308" t="s">
        <v>18</v>
      </c>
      <c r="E141" s="282">
        <v>2501151.2400000002</v>
      </c>
      <c r="F141" s="297"/>
    </row>
    <row r="142" spans="1:6" ht="16.95" customHeight="1" x14ac:dyDescent="0.25">
      <c r="A142" s="315">
        <v>39</v>
      </c>
      <c r="B142" s="286" t="s">
        <v>44</v>
      </c>
      <c r="C142" s="314">
        <v>29</v>
      </c>
      <c r="D142" s="308" t="s">
        <v>22</v>
      </c>
      <c r="E142" s="282">
        <v>2377151.2400000002</v>
      </c>
      <c r="F142" s="297"/>
    </row>
    <row r="143" spans="1:6" ht="17.25" customHeight="1" x14ac:dyDescent="0.25">
      <c r="A143" s="315">
        <v>1</v>
      </c>
      <c r="B143" s="314">
        <v>2</v>
      </c>
      <c r="C143" s="314">
        <v>3</v>
      </c>
      <c r="D143" s="315">
        <v>4</v>
      </c>
      <c r="E143" s="299">
        <v>5</v>
      </c>
      <c r="F143" s="297"/>
    </row>
    <row r="144" spans="1:6" ht="16.95" customHeight="1" x14ac:dyDescent="0.25">
      <c r="A144" s="326"/>
      <c r="B144" s="319"/>
      <c r="C144" s="319"/>
      <c r="D144" s="310" t="s">
        <v>24</v>
      </c>
      <c r="E144" s="305">
        <v>17203759.719999999</v>
      </c>
      <c r="F144" s="297"/>
    </row>
    <row r="145" spans="1:6" ht="16.95" customHeight="1" x14ac:dyDescent="0.25">
      <c r="A145" s="327"/>
      <c r="B145" s="322"/>
      <c r="C145" s="322"/>
      <c r="D145" s="308" t="s">
        <v>32</v>
      </c>
      <c r="E145" s="316">
        <v>884248.6</v>
      </c>
      <c r="F145" s="297"/>
    </row>
    <row r="146" spans="1:6" ht="16.95" customHeight="1" x14ac:dyDescent="0.25">
      <c r="A146" s="328"/>
      <c r="B146" s="320"/>
      <c r="C146" s="320"/>
      <c r="D146" s="308" t="s">
        <v>18</v>
      </c>
      <c r="E146" s="316">
        <v>20465159.559999999</v>
      </c>
      <c r="F146" s="297"/>
    </row>
    <row r="147" spans="1:6" ht="16.95" customHeight="1" x14ac:dyDescent="0.25">
      <c r="A147" s="326">
        <v>40</v>
      </c>
      <c r="B147" s="323" t="s">
        <v>44</v>
      </c>
      <c r="C147" s="319">
        <v>31</v>
      </c>
      <c r="D147" s="308" t="s">
        <v>22</v>
      </c>
      <c r="E147" s="282">
        <v>2377151.2400000002</v>
      </c>
      <c r="F147" s="297"/>
    </row>
    <row r="148" spans="1:6" ht="16.95" customHeight="1" x14ac:dyDescent="0.25">
      <c r="A148" s="327"/>
      <c r="B148" s="324"/>
      <c r="C148" s="322"/>
      <c r="D148" s="308" t="s">
        <v>17</v>
      </c>
      <c r="E148" s="282">
        <v>124000</v>
      </c>
      <c r="F148" s="297"/>
    </row>
    <row r="149" spans="1:6" ht="16.95" customHeight="1" x14ac:dyDescent="0.25">
      <c r="A149" s="328"/>
      <c r="B149" s="325"/>
      <c r="C149" s="320"/>
      <c r="D149" s="308" t="s">
        <v>18</v>
      </c>
      <c r="E149" s="282">
        <v>2501151.2400000002</v>
      </c>
      <c r="F149" s="297"/>
    </row>
    <row r="150" spans="1:6" ht="16.95" customHeight="1" x14ac:dyDescent="0.25">
      <c r="A150" s="326">
        <v>41</v>
      </c>
      <c r="B150" s="323" t="s">
        <v>44</v>
      </c>
      <c r="C150" s="319">
        <v>33</v>
      </c>
      <c r="D150" s="308" t="s">
        <v>22</v>
      </c>
      <c r="E150" s="282">
        <v>2377151.2400000002</v>
      </c>
      <c r="F150" s="297"/>
    </row>
    <row r="151" spans="1:6" ht="16.95" customHeight="1" x14ac:dyDescent="0.25">
      <c r="A151" s="327"/>
      <c r="B151" s="324"/>
      <c r="C151" s="322"/>
      <c r="D151" s="308" t="s">
        <v>17</v>
      </c>
      <c r="E151" s="282">
        <v>124000</v>
      </c>
      <c r="F151" s="297"/>
    </row>
    <row r="152" spans="1:6" ht="16.95" customHeight="1" x14ac:dyDescent="0.25">
      <c r="A152" s="328"/>
      <c r="B152" s="325"/>
      <c r="C152" s="320"/>
      <c r="D152" s="308" t="s">
        <v>18</v>
      </c>
      <c r="E152" s="282">
        <v>2501151.2400000002</v>
      </c>
      <c r="F152" s="297"/>
    </row>
    <row r="153" spans="1:6" ht="16.95" customHeight="1" x14ac:dyDescent="0.25">
      <c r="A153" s="326">
        <v>42</v>
      </c>
      <c r="B153" s="323" t="s">
        <v>44</v>
      </c>
      <c r="C153" s="319">
        <v>35</v>
      </c>
      <c r="D153" s="308" t="s">
        <v>22</v>
      </c>
      <c r="E153" s="282">
        <v>2377151.2400000002</v>
      </c>
      <c r="F153" s="297"/>
    </row>
    <row r="154" spans="1:6" ht="16.95" customHeight="1" x14ac:dyDescent="0.25">
      <c r="A154" s="327"/>
      <c r="B154" s="324"/>
      <c r="C154" s="322"/>
      <c r="D154" s="308" t="s">
        <v>17</v>
      </c>
      <c r="E154" s="282">
        <v>124000</v>
      </c>
      <c r="F154" s="297"/>
    </row>
    <row r="155" spans="1:6" ht="16.95" customHeight="1" x14ac:dyDescent="0.25">
      <c r="A155" s="328"/>
      <c r="B155" s="325"/>
      <c r="C155" s="320"/>
      <c r="D155" s="308" t="s">
        <v>18</v>
      </c>
      <c r="E155" s="282">
        <v>2501151.2400000002</v>
      </c>
      <c r="F155" s="297"/>
    </row>
    <row r="156" spans="1:6" ht="16.95" customHeight="1" x14ac:dyDescent="0.25">
      <c r="A156" s="326">
        <v>43</v>
      </c>
      <c r="B156" s="323" t="s">
        <v>44</v>
      </c>
      <c r="C156" s="319" t="s">
        <v>49</v>
      </c>
      <c r="D156" s="308" t="s">
        <v>22</v>
      </c>
      <c r="E156" s="282">
        <v>2377151.2400000002</v>
      </c>
      <c r="F156" s="297"/>
    </row>
    <row r="157" spans="1:6" ht="16.95" customHeight="1" x14ac:dyDescent="0.25">
      <c r="A157" s="327"/>
      <c r="B157" s="324"/>
      <c r="C157" s="322"/>
      <c r="D157" s="308" t="s">
        <v>17</v>
      </c>
      <c r="E157" s="282">
        <v>124000</v>
      </c>
      <c r="F157" s="297"/>
    </row>
    <row r="158" spans="1:6" ht="16.95" customHeight="1" x14ac:dyDescent="0.25">
      <c r="A158" s="328"/>
      <c r="B158" s="325"/>
      <c r="C158" s="320"/>
      <c r="D158" s="308" t="s">
        <v>18</v>
      </c>
      <c r="E158" s="282">
        <v>2501151.2400000002</v>
      </c>
      <c r="F158" s="297"/>
    </row>
    <row r="159" spans="1:6" ht="16.95" customHeight="1" x14ac:dyDescent="0.25">
      <c r="A159" s="326">
        <v>44</v>
      </c>
      <c r="B159" s="323" t="s">
        <v>44</v>
      </c>
      <c r="C159" s="319">
        <v>37</v>
      </c>
      <c r="D159" s="308" t="s">
        <v>22</v>
      </c>
      <c r="E159" s="282">
        <v>2377151.2400000002</v>
      </c>
      <c r="F159" s="297"/>
    </row>
    <row r="160" spans="1:6" ht="16.95" customHeight="1" x14ac:dyDescent="0.25">
      <c r="A160" s="327"/>
      <c r="B160" s="324"/>
      <c r="C160" s="322"/>
      <c r="D160" s="308" t="s">
        <v>17</v>
      </c>
      <c r="E160" s="282">
        <v>124000</v>
      </c>
      <c r="F160" s="297"/>
    </row>
    <row r="161" spans="1:6" ht="16.95" customHeight="1" x14ac:dyDescent="0.25">
      <c r="A161" s="328"/>
      <c r="B161" s="325"/>
      <c r="C161" s="320"/>
      <c r="D161" s="308" t="s">
        <v>18</v>
      </c>
      <c r="E161" s="282">
        <v>2501151.2400000002</v>
      </c>
      <c r="F161" s="297"/>
    </row>
    <row r="162" spans="1:6" ht="16.95" customHeight="1" x14ac:dyDescent="0.25">
      <c r="A162" s="326">
        <v>45</v>
      </c>
      <c r="B162" s="323" t="s">
        <v>44</v>
      </c>
      <c r="C162" s="319">
        <v>41</v>
      </c>
      <c r="D162" s="308" t="s">
        <v>22</v>
      </c>
      <c r="E162" s="282">
        <v>2377151.2400000002</v>
      </c>
      <c r="F162" s="297"/>
    </row>
    <row r="163" spans="1:6" ht="16.95" customHeight="1" x14ac:dyDescent="0.25">
      <c r="A163" s="327"/>
      <c r="B163" s="324"/>
      <c r="C163" s="322"/>
      <c r="D163" s="308" t="s">
        <v>17</v>
      </c>
      <c r="E163" s="282">
        <v>124000</v>
      </c>
      <c r="F163" s="297"/>
    </row>
    <row r="164" spans="1:6" ht="16.95" customHeight="1" x14ac:dyDescent="0.25">
      <c r="A164" s="328"/>
      <c r="B164" s="325"/>
      <c r="C164" s="320"/>
      <c r="D164" s="308" t="s">
        <v>18</v>
      </c>
      <c r="E164" s="282">
        <v>2501151.2400000002</v>
      </c>
      <c r="F164" s="297"/>
    </row>
    <row r="165" spans="1:6" ht="16.95" customHeight="1" x14ac:dyDescent="0.25">
      <c r="A165" s="326">
        <v>46</v>
      </c>
      <c r="B165" s="323" t="s">
        <v>44</v>
      </c>
      <c r="C165" s="319">
        <v>43</v>
      </c>
      <c r="D165" s="308" t="s">
        <v>22</v>
      </c>
      <c r="E165" s="282">
        <v>2377151.2400000002</v>
      </c>
      <c r="F165" s="297"/>
    </row>
    <row r="166" spans="1:6" ht="16.95" customHeight="1" x14ac:dyDescent="0.25">
      <c r="A166" s="327"/>
      <c r="B166" s="324"/>
      <c r="C166" s="322"/>
      <c r="D166" s="308" t="s">
        <v>17</v>
      </c>
      <c r="E166" s="282">
        <v>124000</v>
      </c>
      <c r="F166" s="297"/>
    </row>
    <row r="167" spans="1:6" ht="16.95" customHeight="1" x14ac:dyDescent="0.25">
      <c r="A167" s="328"/>
      <c r="B167" s="325"/>
      <c r="C167" s="320"/>
      <c r="D167" s="308" t="s">
        <v>18</v>
      </c>
      <c r="E167" s="282">
        <v>2501151.2400000002</v>
      </c>
      <c r="F167" s="297"/>
    </row>
    <row r="168" spans="1:6" ht="16.95" customHeight="1" x14ac:dyDescent="0.25">
      <c r="A168" s="326">
        <v>47</v>
      </c>
      <c r="B168" s="323" t="s">
        <v>44</v>
      </c>
      <c r="C168" s="319">
        <v>45</v>
      </c>
      <c r="D168" s="308" t="s">
        <v>22</v>
      </c>
      <c r="E168" s="282">
        <v>2377151.2400000002</v>
      </c>
      <c r="F168" s="297"/>
    </row>
    <row r="169" spans="1:6" ht="16.95" customHeight="1" x14ac:dyDescent="0.25">
      <c r="A169" s="327"/>
      <c r="B169" s="324"/>
      <c r="C169" s="322"/>
      <c r="D169" s="308" t="s">
        <v>17</v>
      </c>
      <c r="E169" s="282">
        <v>124000</v>
      </c>
      <c r="F169" s="297"/>
    </row>
    <row r="170" spans="1:6" ht="16.95" customHeight="1" x14ac:dyDescent="0.25">
      <c r="A170" s="328"/>
      <c r="B170" s="325"/>
      <c r="C170" s="320"/>
      <c r="D170" s="308" t="s">
        <v>18</v>
      </c>
      <c r="E170" s="282">
        <v>2501151.2400000002</v>
      </c>
      <c r="F170" s="297"/>
    </row>
    <row r="171" spans="1:6" ht="16.95" customHeight="1" x14ac:dyDescent="0.25">
      <c r="A171" s="315">
        <v>48</v>
      </c>
      <c r="B171" s="286" t="s">
        <v>44</v>
      </c>
      <c r="C171" s="314">
        <v>47</v>
      </c>
      <c r="D171" s="308" t="s">
        <v>22</v>
      </c>
      <c r="E171" s="282">
        <v>2377151.2400000002</v>
      </c>
      <c r="F171" s="297"/>
    </row>
    <row r="172" spans="1:6" ht="17.25" customHeight="1" x14ac:dyDescent="0.25">
      <c r="A172" s="315">
        <v>1</v>
      </c>
      <c r="B172" s="314">
        <v>2</v>
      </c>
      <c r="C172" s="314">
        <v>3</v>
      </c>
      <c r="D172" s="315">
        <v>4</v>
      </c>
      <c r="E172" s="299">
        <v>5</v>
      </c>
      <c r="F172" s="297"/>
    </row>
    <row r="173" spans="1:6" ht="16.95" customHeight="1" x14ac:dyDescent="0.25">
      <c r="A173" s="326"/>
      <c r="B173" s="319"/>
      <c r="C173" s="319"/>
      <c r="D173" s="308" t="s">
        <v>17</v>
      </c>
      <c r="E173" s="282">
        <v>124000</v>
      </c>
      <c r="F173" s="297"/>
    </row>
    <row r="174" spans="1:6" ht="16.95" customHeight="1" x14ac:dyDescent="0.25">
      <c r="A174" s="328"/>
      <c r="B174" s="320"/>
      <c r="C174" s="320"/>
      <c r="D174" s="308" t="s">
        <v>18</v>
      </c>
      <c r="E174" s="282">
        <v>2501151.2400000002</v>
      </c>
      <c r="F174" s="297"/>
    </row>
    <row r="175" spans="1:6" ht="16.95" customHeight="1" x14ac:dyDescent="0.25">
      <c r="A175" s="326">
        <v>49</v>
      </c>
      <c r="B175" s="323" t="s">
        <v>44</v>
      </c>
      <c r="C175" s="319" t="s">
        <v>50</v>
      </c>
      <c r="D175" s="308" t="s">
        <v>22</v>
      </c>
      <c r="E175" s="282">
        <v>2377151.2400000002</v>
      </c>
      <c r="F175" s="297"/>
    </row>
    <row r="176" spans="1:6" ht="16.95" customHeight="1" x14ac:dyDescent="0.25">
      <c r="A176" s="327"/>
      <c r="B176" s="324"/>
      <c r="C176" s="322"/>
      <c r="D176" s="308" t="s">
        <v>17</v>
      </c>
      <c r="E176" s="282">
        <v>124000</v>
      </c>
      <c r="F176" s="297"/>
    </row>
    <row r="177" spans="1:6" ht="16.95" customHeight="1" x14ac:dyDescent="0.25">
      <c r="A177" s="328"/>
      <c r="B177" s="325"/>
      <c r="C177" s="320"/>
      <c r="D177" s="308" t="s">
        <v>18</v>
      </c>
      <c r="E177" s="282">
        <v>2501151.2400000002</v>
      </c>
      <c r="F177" s="297"/>
    </row>
    <row r="178" spans="1:6" ht="16.95" customHeight="1" x14ac:dyDescent="0.25">
      <c r="A178" s="326">
        <v>50</v>
      </c>
      <c r="B178" s="323" t="s">
        <v>51</v>
      </c>
      <c r="C178" s="319">
        <v>1</v>
      </c>
      <c r="D178" s="308" t="s">
        <v>16</v>
      </c>
      <c r="E178" s="316">
        <v>5554247.3499999996</v>
      </c>
      <c r="F178" s="297"/>
    </row>
    <row r="179" spans="1:6" ht="16.95" customHeight="1" x14ac:dyDescent="0.25">
      <c r="A179" s="327"/>
      <c r="B179" s="324"/>
      <c r="C179" s="322"/>
      <c r="D179" s="308" t="s">
        <v>17</v>
      </c>
      <c r="E179" s="316">
        <v>227835.12</v>
      </c>
      <c r="F179" s="297"/>
    </row>
    <row r="180" spans="1:6" ht="16.95" customHeight="1" x14ac:dyDescent="0.25">
      <c r="A180" s="328"/>
      <c r="B180" s="325"/>
      <c r="C180" s="320"/>
      <c r="D180" s="308" t="s">
        <v>18</v>
      </c>
      <c r="E180" s="316">
        <v>5782082.4699999997</v>
      </c>
      <c r="F180" s="297"/>
    </row>
    <row r="181" spans="1:6" ht="16.95" customHeight="1" x14ac:dyDescent="0.25">
      <c r="A181" s="329">
        <v>51</v>
      </c>
      <c r="B181" s="321" t="s">
        <v>52</v>
      </c>
      <c r="C181" s="330">
        <v>3</v>
      </c>
      <c r="D181" s="308" t="s">
        <v>22</v>
      </c>
      <c r="E181" s="282">
        <v>2377151.2400000002</v>
      </c>
      <c r="F181" s="297"/>
    </row>
    <row r="182" spans="1:6" ht="16.95" customHeight="1" x14ac:dyDescent="0.25">
      <c r="A182" s="329"/>
      <c r="B182" s="321"/>
      <c r="C182" s="330"/>
      <c r="D182" s="308" t="s">
        <v>17</v>
      </c>
      <c r="E182" s="282">
        <v>124000</v>
      </c>
      <c r="F182" s="297"/>
    </row>
    <row r="183" spans="1:6" ht="16.95" customHeight="1" x14ac:dyDescent="0.25">
      <c r="A183" s="329"/>
      <c r="B183" s="321"/>
      <c r="C183" s="330"/>
      <c r="D183" s="308" t="s">
        <v>18</v>
      </c>
      <c r="E183" s="282">
        <v>2501151.2400000002</v>
      </c>
      <c r="F183" s="297"/>
    </row>
    <row r="184" spans="1:6" ht="16.95" customHeight="1" x14ac:dyDescent="0.25">
      <c r="A184" s="329">
        <v>52</v>
      </c>
      <c r="B184" s="321" t="s">
        <v>52</v>
      </c>
      <c r="C184" s="330">
        <v>12</v>
      </c>
      <c r="D184" s="308" t="s">
        <v>22</v>
      </c>
      <c r="E184" s="282">
        <v>2377151.2400000002</v>
      </c>
      <c r="F184" s="297"/>
    </row>
    <row r="185" spans="1:6" ht="16.95" customHeight="1" x14ac:dyDescent="0.25">
      <c r="A185" s="329"/>
      <c r="B185" s="321"/>
      <c r="C185" s="330"/>
      <c r="D185" s="308" t="s">
        <v>17</v>
      </c>
      <c r="E185" s="282">
        <v>124000</v>
      </c>
      <c r="F185" s="297"/>
    </row>
    <row r="186" spans="1:6" ht="16.95" customHeight="1" x14ac:dyDescent="0.25">
      <c r="A186" s="329"/>
      <c r="B186" s="321"/>
      <c r="C186" s="330"/>
      <c r="D186" s="308" t="s">
        <v>18</v>
      </c>
      <c r="E186" s="282">
        <v>2501151.2400000002</v>
      </c>
      <c r="F186" s="297"/>
    </row>
    <row r="187" spans="1:6" ht="16.95" customHeight="1" x14ac:dyDescent="0.25">
      <c r="A187" s="329">
        <v>53</v>
      </c>
      <c r="B187" s="321" t="s">
        <v>52</v>
      </c>
      <c r="C187" s="330">
        <v>14</v>
      </c>
      <c r="D187" s="308" t="s">
        <v>22</v>
      </c>
      <c r="E187" s="282">
        <v>2377151.2400000002</v>
      </c>
      <c r="F187" s="297"/>
    </row>
    <row r="188" spans="1:6" ht="16.95" customHeight="1" x14ac:dyDescent="0.25">
      <c r="A188" s="329"/>
      <c r="B188" s="321"/>
      <c r="C188" s="330"/>
      <c r="D188" s="308" t="s">
        <v>17</v>
      </c>
      <c r="E188" s="282">
        <v>124000</v>
      </c>
      <c r="F188" s="297"/>
    </row>
    <row r="189" spans="1:6" ht="16.95" customHeight="1" x14ac:dyDescent="0.25">
      <c r="A189" s="329"/>
      <c r="B189" s="321"/>
      <c r="C189" s="330"/>
      <c r="D189" s="308" t="s">
        <v>18</v>
      </c>
      <c r="E189" s="282">
        <v>2501151.2400000002</v>
      </c>
      <c r="F189" s="297"/>
    </row>
    <row r="190" spans="1:6" ht="16.95" customHeight="1" x14ac:dyDescent="0.25">
      <c r="A190" s="329">
        <v>54</v>
      </c>
      <c r="B190" s="321" t="s">
        <v>53</v>
      </c>
      <c r="C190" s="330">
        <v>6</v>
      </c>
      <c r="D190" s="308" t="s">
        <v>22</v>
      </c>
      <c r="E190" s="282">
        <v>2377151.2400000002</v>
      </c>
      <c r="F190" s="297"/>
    </row>
    <row r="191" spans="1:6" ht="16.95" customHeight="1" x14ac:dyDescent="0.25">
      <c r="A191" s="329"/>
      <c r="B191" s="321"/>
      <c r="C191" s="330"/>
      <c r="D191" s="308" t="s">
        <v>17</v>
      </c>
      <c r="E191" s="282">
        <v>124000</v>
      </c>
      <c r="F191" s="297"/>
    </row>
    <row r="192" spans="1:6" ht="16.95" customHeight="1" x14ac:dyDescent="0.25">
      <c r="A192" s="329"/>
      <c r="B192" s="321"/>
      <c r="C192" s="330"/>
      <c r="D192" s="308" t="s">
        <v>18</v>
      </c>
      <c r="E192" s="282">
        <v>2501151.2400000002</v>
      </c>
      <c r="F192" s="297"/>
    </row>
    <row r="193" spans="1:6" ht="16.95" customHeight="1" x14ac:dyDescent="0.25">
      <c r="A193" s="329">
        <v>55</v>
      </c>
      <c r="B193" s="321" t="s">
        <v>53</v>
      </c>
      <c r="C193" s="330">
        <v>8</v>
      </c>
      <c r="D193" s="308" t="s">
        <v>22</v>
      </c>
      <c r="E193" s="282">
        <v>2377151.2400000002</v>
      </c>
      <c r="F193" s="297"/>
    </row>
    <row r="194" spans="1:6" ht="16.95" customHeight="1" x14ac:dyDescent="0.25">
      <c r="A194" s="329"/>
      <c r="B194" s="321"/>
      <c r="C194" s="330"/>
      <c r="D194" s="308" t="s">
        <v>17</v>
      </c>
      <c r="E194" s="282">
        <v>124000</v>
      </c>
      <c r="F194" s="297"/>
    </row>
    <row r="195" spans="1:6" ht="16.95" customHeight="1" x14ac:dyDescent="0.25">
      <c r="A195" s="329"/>
      <c r="B195" s="321"/>
      <c r="C195" s="330"/>
      <c r="D195" s="308" t="s">
        <v>18</v>
      </c>
      <c r="E195" s="282">
        <v>2501151.2400000002</v>
      </c>
      <c r="F195" s="297"/>
    </row>
    <row r="196" spans="1:6" ht="16.95" customHeight="1" x14ac:dyDescent="0.25">
      <c r="A196" s="329">
        <v>56</v>
      </c>
      <c r="B196" s="321" t="s">
        <v>53</v>
      </c>
      <c r="C196" s="330">
        <v>13</v>
      </c>
      <c r="D196" s="308" t="s">
        <v>22</v>
      </c>
      <c r="E196" s="282">
        <v>2377151.2400000002</v>
      </c>
      <c r="F196" s="297"/>
    </row>
    <row r="197" spans="1:6" ht="16.95" customHeight="1" x14ac:dyDescent="0.25">
      <c r="A197" s="329"/>
      <c r="B197" s="321"/>
      <c r="C197" s="330"/>
      <c r="D197" s="308" t="s">
        <v>17</v>
      </c>
      <c r="E197" s="282">
        <v>124000</v>
      </c>
      <c r="F197" s="297"/>
    </row>
    <row r="198" spans="1:6" ht="16.95" customHeight="1" x14ac:dyDescent="0.25">
      <c r="A198" s="329"/>
      <c r="B198" s="321"/>
      <c r="C198" s="330"/>
      <c r="D198" s="308" t="s">
        <v>18</v>
      </c>
      <c r="E198" s="282">
        <v>2501151.2400000002</v>
      </c>
      <c r="F198" s="297"/>
    </row>
    <row r="199" spans="1:6" ht="16.95" customHeight="1" x14ac:dyDescent="0.25">
      <c r="A199" s="329">
        <v>57</v>
      </c>
      <c r="B199" s="321" t="s">
        <v>53</v>
      </c>
      <c r="C199" s="330">
        <v>15</v>
      </c>
      <c r="D199" s="308" t="s">
        <v>22</v>
      </c>
      <c r="E199" s="282">
        <v>2377151.2400000002</v>
      </c>
      <c r="F199" s="297"/>
    </row>
    <row r="200" spans="1:6" ht="16.95" customHeight="1" x14ac:dyDescent="0.25">
      <c r="A200" s="329"/>
      <c r="B200" s="321"/>
      <c r="C200" s="330"/>
      <c r="D200" s="308" t="s">
        <v>17</v>
      </c>
      <c r="E200" s="282">
        <v>124000</v>
      </c>
      <c r="F200" s="297"/>
    </row>
    <row r="201" spans="1:6" ht="17.25" customHeight="1" x14ac:dyDescent="0.25">
      <c r="A201" s="315">
        <v>1</v>
      </c>
      <c r="B201" s="314">
        <v>2</v>
      </c>
      <c r="C201" s="314">
        <v>3</v>
      </c>
      <c r="D201" s="315">
        <v>4</v>
      </c>
      <c r="E201" s="299">
        <v>5</v>
      </c>
      <c r="F201" s="297"/>
    </row>
    <row r="202" spans="1:6" ht="16.95" customHeight="1" x14ac:dyDescent="0.25">
      <c r="A202" s="301"/>
      <c r="B202" s="288"/>
      <c r="C202" s="288"/>
      <c r="D202" s="308" t="s">
        <v>18</v>
      </c>
      <c r="E202" s="282">
        <v>2501151.2400000002</v>
      </c>
      <c r="F202" s="297"/>
    </row>
    <row r="203" spans="1:6" ht="16.95" customHeight="1" x14ac:dyDescent="0.25">
      <c r="A203" s="329">
        <v>58</v>
      </c>
      <c r="B203" s="321" t="s">
        <v>54</v>
      </c>
      <c r="C203" s="330">
        <v>11</v>
      </c>
      <c r="D203" s="308" t="s">
        <v>24</v>
      </c>
      <c r="E203" s="282">
        <v>36092497.159999996</v>
      </c>
      <c r="F203" s="297"/>
    </row>
    <row r="204" spans="1:6" ht="16.95" customHeight="1" x14ac:dyDescent="0.25">
      <c r="A204" s="329"/>
      <c r="B204" s="321"/>
      <c r="C204" s="330"/>
      <c r="D204" s="308" t="s">
        <v>31</v>
      </c>
      <c r="E204" s="282">
        <v>52776564.729999997</v>
      </c>
      <c r="F204" s="297"/>
    </row>
    <row r="205" spans="1:6" ht="16.95" customHeight="1" x14ac:dyDescent="0.25">
      <c r="A205" s="329"/>
      <c r="B205" s="321"/>
      <c r="C205" s="330"/>
      <c r="D205" s="308" t="s">
        <v>17</v>
      </c>
      <c r="E205" s="282">
        <v>6128900.8200000003</v>
      </c>
      <c r="F205" s="297"/>
    </row>
    <row r="206" spans="1:6" ht="16.95" customHeight="1" x14ac:dyDescent="0.25">
      <c r="A206" s="329"/>
      <c r="B206" s="321"/>
      <c r="C206" s="330"/>
      <c r="D206" s="308" t="s">
        <v>18</v>
      </c>
      <c r="E206" s="282">
        <v>94997962.709999993</v>
      </c>
      <c r="F206" s="297"/>
    </row>
    <row r="207" spans="1:6" ht="16.95" customHeight="1" x14ac:dyDescent="0.25">
      <c r="A207" s="329">
        <v>59</v>
      </c>
      <c r="B207" s="321" t="s">
        <v>54</v>
      </c>
      <c r="C207" s="330">
        <v>13</v>
      </c>
      <c r="D207" s="308" t="s">
        <v>24</v>
      </c>
      <c r="E207" s="282">
        <v>22141930.84</v>
      </c>
      <c r="F207" s="297"/>
    </row>
    <row r="208" spans="1:6" ht="16.95" customHeight="1" x14ac:dyDescent="0.25">
      <c r="A208" s="329"/>
      <c r="B208" s="321"/>
      <c r="C208" s="330"/>
      <c r="D208" s="308" t="s">
        <v>31</v>
      </c>
      <c r="E208" s="282">
        <v>20409089.760000002</v>
      </c>
      <c r="F208" s="297"/>
    </row>
    <row r="209" spans="1:6" ht="16.95" customHeight="1" x14ac:dyDescent="0.25">
      <c r="A209" s="329"/>
      <c r="B209" s="321"/>
      <c r="C209" s="330"/>
      <c r="D209" s="308" t="s">
        <v>17</v>
      </c>
      <c r="E209" s="282">
        <v>2934553.14</v>
      </c>
      <c r="F209" s="297"/>
    </row>
    <row r="210" spans="1:6" ht="16.95" customHeight="1" x14ac:dyDescent="0.25">
      <c r="A210" s="329"/>
      <c r="B210" s="321"/>
      <c r="C210" s="330"/>
      <c r="D210" s="308" t="s">
        <v>18</v>
      </c>
      <c r="E210" s="282">
        <f>SUM(E207:E209)</f>
        <v>45485573.740000002</v>
      </c>
      <c r="F210" s="297"/>
    </row>
    <row r="211" spans="1:6" ht="16.95" customHeight="1" x14ac:dyDescent="0.25">
      <c r="A211" s="329">
        <v>60</v>
      </c>
      <c r="B211" s="321" t="s">
        <v>56</v>
      </c>
      <c r="C211" s="330">
        <v>10</v>
      </c>
      <c r="D211" s="308" t="s">
        <v>27</v>
      </c>
      <c r="E211" s="316">
        <v>16221481.800000001</v>
      </c>
      <c r="F211" s="297"/>
    </row>
    <row r="212" spans="1:6" ht="16.95" customHeight="1" x14ac:dyDescent="0.25">
      <c r="A212" s="329"/>
      <c r="B212" s="321"/>
      <c r="C212" s="330"/>
      <c r="D212" s="308" t="s">
        <v>30</v>
      </c>
      <c r="E212" s="316">
        <v>3372346.42</v>
      </c>
      <c r="F212" s="297"/>
    </row>
    <row r="213" spans="1:6" ht="16.95" customHeight="1" x14ac:dyDescent="0.25">
      <c r="A213" s="329"/>
      <c r="B213" s="321"/>
      <c r="C213" s="330"/>
      <c r="D213" s="308" t="s">
        <v>24</v>
      </c>
      <c r="E213" s="316">
        <v>18884217.879999999</v>
      </c>
      <c r="F213" s="297"/>
    </row>
    <row r="214" spans="1:6" ht="16.95" customHeight="1" x14ac:dyDescent="0.25">
      <c r="A214" s="329"/>
      <c r="B214" s="321"/>
      <c r="C214" s="330"/>
      <c r="D214" s="308" t="s">
        <v>31</v>
      </c>
      <c r="E214" s="316">
        <v>17406327.41</v>
      </c>
      <c r="F214" s="297"/>
    </row>
    <row r="215" spans="1:6" ht="16.95" customHeight="1" x14ac:dyDescent="0.25">
      <c r="A215" s="329"/>
      <c r="B215" s="321"/>
      <c r="C215" s="330"/>
      <c r="D215" s="308" t="s">
        <v>32</v>
      </c>
      <c r="E215" s="316">
        <v>997058.37</v>
      </c>
      <c r="F215" s="297"/>
    </row>
    <row r="216" spans="1:6" ht="16.95" customHeight="1" x14ac:dyDescent="0.25">
      <c r="A216" s="329"/>
      <c r="B216" s="321"/>
      <c r="C216" s="330"/>
      <c r="D216" s="308" t="s">
        <v>18</v>
      </c>
      <c r="E216" s="316">
        <f>SUM(E211:E215)</f>
        <v>56881431.879999988</v>
      </c>
      <c r="F216" s="297"/>
    </row>
    <row r="217" spans="1:6" ht="16.95" customHeight="1" x14ac:dyDescent="0.25">
      <c r="A217" s="329">
        <v>61</v>
      </c>
      <c r="B217" s="321" t="s">
        <v>147</v>
      </c>
      <c r="C217" s="330">
        <v>16</v>
      </c>
      <c r="D217" s="308" t="s">
        <v>16</v>
      </c>
      <c r="E217" s="316">
        <v>7405663.1399999997</v>
      </c>
      <c r="F217" s="297"/>
    </row>
    <row r="218" spans="1:6" ht="16.95" customHeight="1" x14ac:dyDescent="0.25">
      <c r="A218" s="329"/>
      <c r="B218" s="321"/>
      <c r="C218" s="330"/>
      <c r="D218" s="308" t="s">
        <v>17</v>
      </c>
      <c r="E218" s="316">
        <v>303780.15999999997</v>
      </c>
    </row>
    <row r="219" spans="1:6" ht="16.95" customHeight="1" x14ac:dyDescent="0.25">
      <c r="A219" s="329"/>
      <c r="B219" s="321"/>
      <c r="C219" s="330"/>
      <c r="D219" s="308" t="s">
        <v>18</v>
      </c>
      <c r="E219" s="316">
        <v>7709443.2999999998</v>
      </c>
    </row>
    <row r="220" spans="1:6" ht="16.95" customHeight="1" x14ac:dyDescent="0.25">
      <c r="A220" s="329">
        <v>62</v>
      </c>
      <c r="B220" s="321" t="s">
        <v>147</v>
      </c>
      <c r="C220" s="330">
        <v>30</v>
      </c>
      <c r="D220" s="308" t="s">
        <v>16</v>
      </c>
      <c r="E220" s="316">
        <v>3702831.57</v>
      </c>
      <c r="F220" s="297"/>
    </row>
    <row r="221" spans="1:6" ht="16.95" customHeight="1" x14ac:dyDescent="0.25">
      <c r="A221" s="329"/>
      <c r="B221" s="321"/>
      <c r="C221" s="330"/>
      <c r="D221" s="308" t="s">
        <v>17</v>
      </c>
      <c r="E221" s="316">
        <v>151890.07999999999</v>
      </c>
    </row>
    <row r="222" spans="1:6" ht="16.95" customHeight="1" x14ac:dyDescent="0.25">
      <c r="A222" s="329"/>
      <c r="B222" s="321"/>
      <c r="C222" s="330"/>
      <c r="D222" s="308" t="s">
        <v>18</v>
      </c>
      <c r="E222" s="316">
        <v>3854721.65</v>
      </c>
    </row>
    <row r="223" spans="1:6" ht="16.95" customHeight="1" x14ac:dyDescent="0.25">
      <c r="A223" s="326">
        <v>63</v>
      </c>
      <c r="B223" s="323" t="s">
        <v>147</v>
      </c>
      <c r="C223" s="319">
        <v>32</v>
      </c>
      <c r="D223" s="308" t="s">
        <v>16</v>
      </c>
      <c r="E223" s="316">
        <v>1851415.78</v>
      </c>
      <c r="F223" s="297"/>
    </row>
    <row r="224" spans="1:6" ht="16.95" customHeight="1" x14ac:dyDescent="0.25">
      <c r="A224" s="327"/>
      <c r="B224" s="324"/>
      <c r="C224" s="322"/>
      <c r="D224" s="308" t="s">
        <v>17</v>
      </c>
      <c r="E224" s="316">
        <v>75945.039999999994</v>
      </c>
    </row>
    <row r="225" spans="1:6" ht="16.95" customHeight="1" x14ac:dyDescent="0.25">
      <c r="A225" s="328"/>
      <c r="B225" s="325"/>
      <c r="C225" s="320"/>
      <c r="D225" s="308" t="s">
        <v>18</v>
      </c>
      <c r="E225" s="316">
        <v>1927360.82</v>
      </c>
    </row>
    <row r="226" spans="1:6" ht="16.95" customHeight="1" x14ac:dyDescent="0.25">
      <c r="A226" s="329">
        <v>64</v>
      </c>
      <c r="B226" s="321" t="s">
        <v>147</v>
      </c>
      <c r="C226" s="330">
        <v>34</v>
      </c>
      <c r="D226" s="308" t="s">
        <v>16</v>
      </c>
      <c r="E226" s="316">
        <v>11108494.710000001</v>
      </c>
      <c r="F226" s="297"/>
    </row>
    <row r="227" spans="1:6" ht="16.95" customHeight="1" x14ac:dyDescent="0.25">
      <c r="A227" s="329"/>
      <c r="B227" s="321"/>
      <c r="C227" s="330"/>
      <c r="D227" s="308" t="s">
        <v>17</v>
      </c>
      <c r="E227" s="316">
        <v>455670.24</v>
      </c>
    </row>
    <row r="228" spans="1:6" ht="16.95" customHeight="1" x14ac:dyDescent="0.25">
      <c r="A228" s="329"/>
      <c r="B228" s="321"/>
      <c r="C228" s="330"/>
      <c r="D228" s="308" t="s">
        <v>18</v>
      </c>
      <c r="E228" s="316">
        <v>11564164.949999999</v>
      </c>
    </row>
    <row r="229" spans="1:6" ht="16.95" customHeight="1" x14ac:dyDescent="0.25">
      <c r="A229" s="315">
        <v>65</v>
      </c>
      <c r="B229" s="286" t="s">
        <v>57</v>
      </c>
      <c r="C229" s="314">
        <v>3</v>
      </c>
      <c r="D229" s="308" t="s">
        <v>16</v>
      </c>
      <c r="E229" s="316">
        <v>3702831.57</v>
      </c>
      <c r="F229" s="297"/>
    </row>
    <row r="230" spans="1:6" ht="17.25" customHeight="1" x14ac:dyDescent="0.25">
      <c r="A230" s="315">
        <v>1</v>
      </c>
      <c r="B230" s="314">
        <v>2</v>
      </c>
      <c r="C230" s="314">
        <v>3</v>
      </c>
      <c r="D230" s="315">
        <v>4</v>
      </c>
      <c r="E230" s="299">
        <v>5</v>
      </c>
      <c r="F230" s="297"/>
    </row>
    <row r="231" spans="1:6" ht="16.95" customHeight="1" x14ac:dyDescent="0.25">
      <c r="A231" s="327"/>
      <c r="B231" s="322"/>
      <c r="C231" s="322"/>
      <c r="D231" s="308" t="s">
        <v>17</v>
      </c>
      <c r="E231" s="316">
        <v>151890.07999999999</v>
      </c>
      <c r="F231" s="297"/>
    </row>
    <row r="232" spans="1:6" ht="16.95" customHeight="1" x14ac:dyDescent="0.25">
      <c r="A232" s="328"/>
      <c r="B232" s="320"/>
      <c r="C232" s="320"/>
      <c r="D232" s="308" t="s">
        <v>18</v>
      </c>
      <c r="E232" s="316">
        <v>3854721.65</v>
      </c>
      <c r="F232" s="297"/>
    </row>
    <row r="233" spans="1:6" ht="16.95" customHeight="1" x14ac:dyDescent="0.25">
      <c r="A233" s="329">
        <v>66</v>
      </c>
      <c r="B233" s="321" t="s">
        <v>57</v>
      </c>
      <c r="C233" s="330">
        <v>34</v>
      </c>
      <c r="D233" s="308" t="s">
        <v>16</v>
      </c>
      <c r="E233" s="316">
        <v>3702831.57</v>
      </c>
      <c r="F233" s="297"/>
    </row>
    <row r="234" spans="1:6" ht="16.95" customHeight="1" x14ac:dyDescent="0.25">
      <c r="A234" s="329"/>
      <c r="B234" s="321"/>
      <c r="C234" s="330"/>
      <c r="D234" s="308" t="s">
        <v>17</v>
      </c>
      <c r="E234" s="316">
        <v>151890.07999999999</v>
      </c>
      <c r="F234" s="297"/>
    </row>
    <row r="235" spans="1:6" ht="16.95" customHeight="1" x14ac:dyDescent="0.25">
      <c r="A235" s="329"/>
      <c r="B235" s="321"/>
      <c r="C235" s="330"/>
      <c r="D235" s="308" t="s">
        <v>18</v>
      </c>
      <c r="E235" s="316">
        <v>3854721.65</v>
      </c>
      <c r="F235" s="297"/>
    </row>
    <row r="236" spans="1:6" ht="16.95" customHeight="1" x14ac:dyDescent="0.25">
      <c r="A236" s="329">
        <v>67</v>
      </c>
      <c r="B236" s="337" t="s">
        <v>864</v>
      </c>
      <c r="C236" s="330">
        <v>73</v>
      </c>
      <c r="D236" s="308" t="s">
        <v>59</v>
      </c>
      <c r="E236" s="316">
        <v>1215410.51</v>
      </c>
      <c r="F236" s="297"/>
    </row>
    <row r="237" spans="1:6" ht="16.95" customHeight="1" x14ac:dyDescent="0.25">
      <c r="A237" s="329"/>
      <c r="B237" s="321"/>
      <c r="C237" s="330"/>
      <c r="D237" s="308" t="s">
        <v>32</v>
      </c>
      <c r="E237" s="316">
        <v>224000</v>
      </c>
      <c r="F237" s="297"/>
    </row>
    <row r="238" spans="1:6" ht="16.95" customHeight="1" x14ac:dyDescent="0.25">
      <c r="A238" s="329"/>
      <c r="B238" s="321"/>
      <c r="C238" s="330"/>
      <c r="D238" s="308" t="s">
        <v>18</v>
      </c>
      <c r="E238" s="316">
        <v>1439410.51</v>
      </c>
      <c r="F238" s="297"/>
    </row>
    <row r="239" spans="1:6" ht="16.95" customHeight="1" x14ac:dyDescent="0.25">
      <c r="A239" s="326">
        <v>68</v>
      </c>
      <c r="B239" s="321" t="s">
        <v>60</v>
      </c>
      <c r="C239" s="319" t="s">
        <v>61</v>
      </c>
      <c r="D239" s="308" t="s">
        <v>22</v>
      </c>
      <c r="E239" s="282">
        <v>2377151.2400000002</v>
      </c>
      <c r="F239" s="297"/>
    </row>
    <row r="240" spans="1:6" ht="16.95" customHeight="1" x14ac:dyDescent="0.25">
      <c r="A240" s="327"/>
      <c r="B240" s="321"/>
      <c r="C240" s="322"/>
      <c r="D240" s="308" t="s">
        <v>17</v>
      </c>
      <c r="E240" s="282">
        <v>124000</v>
      </c>
      <c r="F240" s="297"/>
    </row>
    <row r="241" spans="1:6" ht="16.95" customHeight="1" x14ac:dyDescent="0.25">
      <c r="A241" s="328"/>
      <c r="B241" s="321"/>
      <c r="C241" s="320"/>
      <c r="D241" s="308" t="s">
        <v>18</v>
      </c>
      <c r="E241" s="282">
        <v>2501151.2400000002</v>
      </c>
      <c r="F241" s="297"/>
    </row>
    <row r="242" spans="1:6" ht="16.95" customHeight="1" x14ac:dyDescent="0.25">
      <c r="A242" s="326">
        <v>69</v>
      </c>
      <c r="B242" s="321" t="s">
        <v>60</v>
      </c>
      <c r="C242" s="319" t="s">
        <v>62</v>
      </c>
      <c r="D242" s="308" t="s">
        <v>22</v>
      </c>
      <c r="E242" s="282">
        <v>2377151.2400000002</v>
      </c>
      <c r="F242" s="297"/>
    </row>
    <row r="243" spans="1:6" ht="16.95" customHeight="1" x14ac:dyDescent="0.25">
      <c r="A243" s="327"/>
      <c r="B243" s="321"/>
      <c r="C243" s="322"/>
      <c r="D243" s="308" t="s">
        <v>17</v>
      </c>
      <c r="E243" s="282">
        <v>124000</v>
      </c>
      <c r="F243" s="297"/>
    </row>
    <row r="244" spans="1:6" ht="16.95" customHeight="1" x14ac:dyDescent="0.25">
      <c r="A244" s="328"/>
      <c r="B244" s="321"/>
      <c r="C244" s="320"/>
      <c r="D244" s="308" t="s">
        <v>18</v>
      </c>
      <c r="E244" s="282">
        <v>2501151.2400000002</v>
      </c>
      <c r="F244" s="297"/>
    </row>
    <row r="245" spans="1:6" ht="16.95" customHeight="1" x14ac:dyDescent="0.25">
      <c r="A245" s="326">
        <v>70</v>
      </c>
      <c r="B245" s="323" t="s">
        <v>60</v>
      </c>
      <c r="C245" s="319" t="s">
        <v>63</v>
      </c>
      <c r="D245" s="308" t="s">
        <v>22</v>
      </c>
      <c r="E245" s="282">
        <v>4754302.4800000004</v>
      </c>
      <c r="F245" s="297"/>
    </row>
    <row r="246" spans="1:6" ht="16.95" customHeight="1" x14ac:dyDescent="0.25">
      <c r="A246" s="327"/>
      <c r="B246" s="324"/>
      <c r="C246" s="322"/>
      <c r="D246" s="310" t="s">
        <v>17</v>
      </c>
      <c r="E246" s="304">
        <v>248000</v>
      </c>
      <c r="F246" s="297"/>
    </row>
    <row r="247" spans="1:6" ht="16.95" customHeight="1" x14ac:dyDescent="0.25">
      <c r="A247" s="328"/>
      <c r="B247" s="325"/>
      <c r="C247" s="320"/>
      <c r="D247" s="308" t="s">
        <v>18</v>
      </c>
      <c r="E247" s="282">
        <v>5002302.4800000004</v>
      </c>
      <c r="F247" s="297"/>
    </row>
    <row r="248" spans="1:6" ht="16.95" customHeight="1" x14ac:dyDescent="0.25">
      <c r="A248" s="326">
        <v>71</v>
      </c>
      <c r="B248" s="323" t="s">
        <v>60</v>
      </c>
      <c r="C248" s="319" t="s">
        <v>64</v>
      </c>
      <c r="D248" s="308" t="s">
        <v>22</v>
      </c>
      <c r="E248" s="282">
        <v>2377151.2400000002</v>
      </c>
      <c r="F248" s="297"/>
    </row>
    <row r="249" spans="1:6" ht="16.95" customHeight="1" x14ac:dyDescent="0.25">
      <c r="A249" s="327"/>
      <c r="B249" s="324"/>
      <c r="C249" s="322"/>
      <c r="D249" s="308" t="s">
        <v>17</v>
      </c>
      <c r="E249" s="282">
        <v>124000</v>
      </c>
      <c r="F249" s="297"/>
    </row>
    <row r="250" spans="1:6" ht="16.95" customHeight="1" x14ac:dyDescent="0.25">
      <c r="A250" s="328"/>
      <c r="B250" s="325"/>
      <c r="C250" s="320"/>
      <c r="D250" s="308" t="s">
        <v>18</v>
      </c>
      <c r="E250" s="282">
        <v>2501151.2400000002</v>
      </c>
      <c r="F250" s="297"/>
    </row>
    <row r="251" spans="1:6" ht="16.95" customHeight="1" x14ac:dyDescent="0.25">
      <c r="A251" s="326">
        <v>72</v>
      </c>
      <c r="B251" s="321" t="s">
        <v>60</v>
      </c>
      <c r="C251" s="319" t="s">
        <v>65</v>
      </c>
      <c r="D251" s="308" t="s">
        <v>22</v>
      </c>
      <c r="E251" s="282">
        <v>2377151.2400000002</v>
      </c>
      <c r="F251" s="297"/>
    </row>
    <row r="252" spans="1:6" ht="16.95" customHeight="1" x14ac:dyDescent="0.25">
      <c r="A252" s="327"/>
      <c r="B252" s="321"/>
      <c r="C252" s="322"/>
      <c r="D252" s="308" t="s">
        <v>17</v>
      </c>
      <c r="E252" s="282">
        <v>124000</v>
      </c>
      <c r="F252" s="297"/>
    </row>
    <row r="253" spans="1:6" ht="16.95" customHeight="1" x14ac:dyDescent="0.25">
      <c r="A253" s="328"/>
      <c r="B253" s="321"/>
      <c r="C253" s="320"/>
      <c r="D253" s="308" t="s">
        <v>18</v>
      </c>
      <c r="E253" s="282">
        <v>2501151.2400000002</v>
      </c>
      <c r="F253" s="297"/>
    </row>
    <row r="254" spans="1:6" ht="16.95" customHeight="1" x14ac:dyDescent="0.25">
      <c r="A254" s="326">
        <v>73</v>
      </c>
      <c r="B254" s="321" t="s">
        <v>60</v>
      </c>
      <c r="C254" s="319" t="s">
        <v>15</v>
      </c>
      <c r="D254" s="308" t="s">
        <v>22</v>
      </c>
      <c r="E254" s="282">
        <v>2377151.2400000002</v>
      </c>
      <c r="F254" s="297"/>
    </row>
    <row r="255" spans="1:6" ht="16.95" customHeight="1" x14ac:dyDescent="0.25">
      <c r="A255" s="327"/>
      <c r="B255" s="321"/>
      <c r="C255" s="322"/>
      <c r="D255" s="308" t="s">
        <v>17</v>
      </c>
      <c r="E255" s="282">
        <v>124000</v>
      </c>
      <c r="F255" s="297"/>
    </row>
    <row r="256" spans="1:6" ht="16.95" customHeight="1" x14ac:dyDescent="0.25">
      <c r="A256" s="328"/>
      <c r="B256" s="321"/>
      <c r="C256" s="320"/>
      <c r="D256" s="308" t="s">
        <v>18</v>
      </c>
      <c r="E256" s="282">
        <v>2501151.2400000002</v>
      </c>
      <c r="F256" s="297"/>
    </row>
    <row r="257" spans="1:6" ht="16.95" customHeight="1" x14ac:dyDescent="0.25">
      <c r="A257" s="329">
        <v>74</v>
      </c>
      <c r="B257" s="321" t="s">
        <v>60</v>
      </c>
      <c r="C257" s="330">
        <v>13</v>
      </c>
      <c r="D257" s="308" t="s">
        <v>22</v>
      </c>
      <c r="E257" s="282">
        <v>2377151.2400000002</v>
      </c>
      <c r="F257" s="297"/>
    </row>
    <row r="258" spans="1:6" ht="16.95" customHeight="1" x14ac:dyDescent="0.25">
      <c r="A258" s="329"/>
      <c r="B258" s="321"/>
      <c r="C258" s="330"/>
      <c r="D258" s="308" t="s">
        <v>17</v>
      </c>
      <c r="E258" s="282">
        <v>124000</v>
      </c>
      <c r="F258" s="297"/>
    </row>
    <row r="259" spans="1:6" ht="17.25" customHeight="1" x14ac:dyDescent="0.25">
      <c r="A259" s="315">
        <v>1</v>
      </c>
      <c r="B259" s="314">
        <v>2</v>
      </c>
      <c r="C259" s="314">
        <v>3</v>
      </c>
      <c r="D259" s="315">
        <v>4</v>
      </c>
      <c r="E259" s="299">
        <v>5</v>
      </c>
      <c r="F259" s="297"/>
    </row>
    <row r="260" spans="1:6" ht="16.95" customHeight="1" x14ac:dyDescent="0.25">
      <c r="A260" s="301"/>
      <c r="B260" s="288"/>
      <c r="C260" s="288"/>
      <c r="D260" s="308" t="s">
        <v>18</v>
      </c>
      <c r="E260" s="282">
        <v>2501151.2400000002</v>
      </c>
      <c r="F260" s="297"/>
    </row>
    <row r="261" spans="1:6" ht="16.95" customHeight="1" x14ac:dyDescent="0.25">
      <c r="A261" s="326">
        <v>75</v>
      </c>
      <c r="B261" s="321" t="s">
        <v>60</v>
      </c>
      <c r="C261" s="319" t="s">
        <v>66</v>
      </c>
      <c r="D261" s="308" t="s">
        <v>22</v>
      </c>
      <c r="E261" s="282">
        <v>2377151.2400000002</v>
      </c>
      <c r="F261" s="297"/>
    </row>
    <row r="262" spans="1:6" ht="16.95" customHeight="1" x14ac:dyDescent="0.25">
      <c r="A262" s="327"/>
      <c r="B262" s="321"/>
      <c r="C262" s="322"/>
      <c r="D262" s="308" t="s">
        <v>17</v>
      </c>
      <c r="E262" s="282">
        <v>124000</v>
      </c>
      <c r="F262" s="297"/>
    </row>
    <row r="263" spans="1:6" ht="16.95" customHeight="1" x14ac:dyDescent="0.25">
      <c r="A263" s="328"/>
      <c r="B263" s="321"/>
      <c r="C263" s="320"/>
      <c r="D263" s="308" t="s">
        <v>18</v>
      </c>
      <c r="E263" s="282">
        <v>2501151.2400000002</v>
      </c>
      <c r="F263" s="297"/>
    </row>
    <row r="264" spans="1:6" ht="16.95" customHeight="1" x14ac:dyDescent="0.25">
      <c r="A264" s="326">
        <v>76</v>
      </c>
      <c r="B264" s="323" t="s">
        <v>60</v>
      </c>
      <c r="C264" s="319" t="s">
        <v>67</v>
      </c>
      <c r="D264" s="308" t="s">
        <v>22</v>
      </c>
      <c r="E264" s="282">
        <v>2377151.2400000002</v>
      </c>
      <c r="F264" s="297"/>
    </row>
    <row r="265" spans="1:6" ht="16.95" customHeight="1" x14ac:dyDescent="0.25">
      <c r="A265" s="327"/>
      <c r="B265" s="324"/>
      <c r="C265" s="322"/>
      <c r="D265" s="308" t="s">
        <v>17</v>
      </c>
      <c r="E265" s="282">
        <v>124000</v>
      </c>
      <c r="F265" s="297"/>
    </row>
    <row r="266" spans="1:6" ht="16.95" customHeight="1" x14ac:dyDescent="0.25">
      <c r="A266" s="328"/>
      <c r="B266" s="325"/>
      <c r="C266" s="320"/>
      <c r="D266" s="308" t="s">
        <v>18</v>
      </c>
      <c r="E266" s="282">
        <v>2501151.2400000002</v>
      </c>
      <c r="F266" s="297"/>
    </row>
    <row r="267" spans="1:6" ht="16.95" customHeight="1" x14ac:dyDescent="0.25">
      <c r="A267" s="326">
        <v>77</v>
      </c>
      <c r="B267" s="321" t="s">
        <v>60</v>
      </c>
      <c r="C267" s="319" t="s">
        <v>68</v>
      </c>
      <c r="D267" s="308" t="s">
        <v>22</v>
      </c>
      <c r="E267" s="282">
        <v>2377151.2400000002</v>
      </c>
      <c r="F267" s="297"/>
    </row>
    <row r="268" spans="1:6" ht="16.95" customHeight="1" x14ac:dyDescent="0.25">
      <c r="A268" s="327"/>
      <c r="B268" s="321"/>
      <c r="C268" s="322"/>
      <c r="D268" s="308" t="s">
        <v>17</v>
      </c>
      <c r="E268" s="282">
        <v>124000</v>
      </c>
      <c r="F268" s="297"/>
    </row>
    <row r="269" spans="1:6" ht="16.95" customHeight="1" x14ac:dyDescent="0.25">
      <c r="A269" s="328"/>
      <c r="B269" s="321"/>
      <c r="C269" s="320"/>
      <c r="D269" s="308" t="s">
        <v>18</v>
      </c>
      <c r="E269" s="282">
        <v>2501151.2400000002</v>
      </c>
      <c r="F269" s="297"/>
    </row>
    <row r="270" spans="1:6" ht="16.95" customHeight="1" x14ac:dyDescent="0.25">
      <c r="A270" s="326">
        <v>78</v>
      </c>
      <c r="B270" s="323" t="s">
        <v>60</v>
      </c>
      <c r="C270" s="319">
        <v>19</v>
      </c>
      <c r="D270" s="308" t="s">
        <v>22</v>
      </c>
      <c r="E270" s="282">
        <v>2377151.2400000002</v>
      </c>
      <c r="F270" s="297"/>
    </row>
    <row r="271" spans="1:6" ht="16.95" customHeight="1" x14ac:dyDescent="0.25">
      <c r="A271" s="327"/>
      <c r="B271" s="324"/>
      <c r="C271" s="322"/>
      <c r="D271" s="308" t="s">
        <v>17</v>
      </c>
      <c r="E271" s="282">
        <v>124000</v>
      </c>
      <c r="F271" s="297"/>
    </row>
    <row r="272" spans="1:6" ht="16.95" customHeight="1" x14ac:dyDescent="0.25">
      <c r="A272" s="328"/>
      <c r="B272" s="325"/>
      <c r="C272" s="320"/>
      <c r="D272" s="308" t="s">
        <v>18</v>
      </c>
      <c r="E272" s="282">
        <v>2501151.2400000002</v>
      </c>
      <c r="F272" s="297"/>
    </row>
    <row r="273" spans="1:6" ht="16.95" customHeight="1" x14ac:dyDescent="0.25">
      <c r="A273" s="326">
        <v>79</v>
      </c>
      <c r="B273" s="321" t="s">
        <v>60</v>
      </c>
      <c r="C273" s="319">
        <v>72</v>
      </c>
      <c r="D273" s="308" t="s">
        <v>22</v>
      </c>
      <c r="E273" s="282">
        <v>2377151.2400000002</v>
      </c>
      <c r="F273" s="297"/>
    </row>
    <row r="274" spans="1:6" ht="16.95" customHeight="1" x14ac:dyDescent="0.25">
      <c r="A274" s="327"/>
      <c r="B274" s="321"/>
      <c r="C274" s="322"/>
      <c r="D274" s="308" t="s">
        <v>17</v>
      </c>
      <c r="E274" s="282">
        <v>124000</v>
      </c>
      <c r="F274" s="297"/>
    </row>
    <row r="275" spans="1:6" ht="16.95" customHeight="1" x14ac:dyDescent="0.25">
      <c r="A275" s="328"/>
      <c r="B275" s="321"/>
      <c r="C275" s="320"/>
      <c r="D275" s="308" t="s">
        <v>18</v>
      </c>
      <c r="E275" s="282">
        <v>2501151.2400000002</v>
      </c>
      <c r="F275" s="297"/>
    </row>
    <row r="276" spans="1:6" ht="16.95" customHeight="1" x14ac:dyDescent="0.25">
      <c r="A276" s="326">
        <v>80</v>
      </c>
      <c r="B276" s="321" t="s">
        <v>60</v>
      </c>
      <c r="C276" s="319" t="s">
        <v>69</v>
      </c>
      <c r="D276" s="308" t="s">
        <v>22</v>
      </c>
      <c r="E276" s="282">
        <v>4754302.4800000004</v>
      </c>
      <c r="F276" s="297"/>
    </row>
    <row r="277" spans="1:6" ht="16.95" customHeight="1" x14ac:dyDescent="0.25">
      <c r="A277" s="327"/>
      <c r="B277" s="321"/>
      <c r="C277" s="322"/>
      <c r="D277" s="308" t="s">
        <v>17</v>
      </c>
      <c r="E277" s="282">
        <v>248000</v>
      </c>
      <c r="F277" s="297"/>
    </row>
    <row r="278" spans="1:6" ht="16.95" customHeight="1" x14ac:dyDescent="0.25">
      <c r="A278" s="328"/>
      <c r="B278" s="321"/>
      <c r="C278" s="320"/>
      <c r="D278" s="308" t="s">
        <v>18</v>
      </c>
      <c r="E278" s="282">
        <v>5002302.4800000004</v>
      </c>
      <c r="F278" s="297"/>
    </row>
    <row r="279" spans="1:6" ht="16.95" customHeight="1" x14ac:dyDescent="0.25">
      <c r="A279" s="326">
        <v>81</v>
      </c>
      <c r="B279" s="321" t="s">
        <v>60</v>
      </c>
      <c r="C279" s="330" t="s">
        <v>70</v>
      </c>
      <c r="D279" s="308" t="s">
        <v>22</v>
      </c>
      <c r="E279" s="316">
        <v>7131453.7199999997</v>
      </c>
      <c r="F279" s="297"/>
    </row>
    <row r="280" spans="1:6" ht="16.95" customHeight="1" x14ac:dyDescent="0.25">
      <c r="A280" s="327"/>
      <c r="B280" s="321"/>
      <c r="C280" s="330"/>
      <c r="D280" s="308" t="s">
        <v>17</v>
      </c>
      <c r="E280" s="316">
        <v>372000</v>
      </c>
      <c r="F280" s="297"/>
    </row>
    <row r="281" spans="1:6" ht="16.95" customHeight="1" x14ac:dyDescent="0.25">
      <c r="A281" s="328"/>
      <c r="B281" s="321"/>
      <c r="C281" s="330"/>
      <c r="D281" s="308" t="s">
        <v>18</v>
      </c>
      <c r="E281" s="316">
        <v>7503453.7199999997</v>
      </c>
      <c r="F281" s="297"/>
    </row>
    <row r="282" spans="1:6" ht="16.95" customHeight="1" x14ac:dyDescent="0.25">
      <c r="A282" s="326">
        <v>82</v>
      </c>
      <c r="B282" s="321" t="s">
        <v>60</v>
      </c>
      <c r="C282" s="330" t="s">
        <v>71</v>
      </c>
      <c r="D282" s="308" t="s">
        <v>24</v>
      </c>
      <c r="E282" s="316">
        <v>20897700.289999999</v>
      </c>
      <c r="F282" s="297"/>
    </row>
    <row r="283" spans="1:6" ht="16.95" customHeight="1" x14ac:dyDescent="0.25">
      <c r="A283" s="327"/>
      <c r="B283" s="321"/>
      <c r="C283" s="330"/>
      <c r="D283" s="308" t="s">
        <v>32</v>
      </c>
      <c r="E283" s="316">
        <v>741812.5</v>
      </c>
      <c r="F283" s="297"/>
    </row>
    <row r="284" spans="1:6" ht="16.95" customHeight="1" x14ac:dyDescent="0.25">
      <c r="A284" s="328"/>
      <c r="B284" s="321"/>
      <c r="C284" s="330"/>
      <c r="D284" s="308" t="s">
        <v>18</v>
      </c>
      <c r="E284" s="316">
        <v>21639512.789999999</v>
      </c>
      <c r="F284" s="297"/>
    </row>
    <row r="285" spans="1:6" ht="16.95" customHeight="1" x14ac:dyDescent="0.25">
      <c r="A285" s="326">
        <v>83</v>
      </c>
      <c r="B285" s="323" t="s">
        <v>60</v>
      </c>
      <c r="C285" s="319" t="s">
        <v>72</v>
      </c>
      <c r="D285" s="308" t="s">
        <v>24</v>
      </c>
      <c r="E285" s="316">
        <v>9632734.5399999991</v>
      </c>
      <c r="F285" s="297"/>
    </row>
    <row r="286" spans="1:6" ht="16.95" customHeight="1" x14ac:dyDescent="0.25">
      <c r="A286" s="327"/>
      <c r="B286" s="324"/>
      <c r="C286" s="322"/>
      <c r="D286" s="308" t="s">
        <v>32</v>
      </c>
      <c r="E286" s="316">
        <v>670285.1</v>
      </c>
      <c r="F286" s="297"/>
    </row>
    <row r="287" spans="1:6" ht="16.95" customHeight="1" x14ac:dyDescent="0.25">
      <c r="A287" s="328"/>
      <c r="B287" s="325"/>
      <c r="C287" s="320"/>
      <c r="D287" s="308" t="s">
        <v>18</v>
      </c>
      <c r="E287" s="316">
        <v>10303019.640000001</v>
      </c>
      <c r="F287" s="297"/>
    </row>
    <row r="288" spans="1:6" ht="17.25" customHeight="1" x14ac:dyDescent="0.25">
      <c r="A288" s="315">
        <v>1</v>
      </c>
      <c r="B288" s="314">
        <v>2</v>
      </c>
      <c r="C288" s="314">
        <v>3</v>
      </c>
      <c r="D288" s="315">
        <v>4</v>
      </c>
      <c r="E288" s="299">
        <v>5</v>
      </c>
      <c r="F288" s="297"/>
    </row>
    <row r="289" spans="1:6" ht="16.95" customHeight="1" x14ac:dyDescent="0.25">
      <c r="A289" s="326">
        <v>84</v>
      </c>
      <c r="B289" s="323" t="s">
        <v>73</v>
      </c>
      <c r="C289" s="319">
        <v>1</v>
      </c>
      <c r="D289" s="308" t="s">
        <v>16</v>
      </c>
      <c r="E289" s="316">
        <v>1851415.78</v>
      </c>
      <c r="F289" s="297"/>
    </row>
    <row r="290" spans="1:6" ht="16.95" customHeight="1" x14ac:dyDescent="0.25">
      <c r="A290" s="327"/>
      <c r="B290" s="324"/>
      <c r="C290" s="322"/>
      <c r="D290" s="308" t="s">
        <v>17</v>
      </c>
      <c r="E290" s="316">
        <v>75945.039999999994</v>
      </c>
      <c r="F290" s="297"/>
    </row>
    <row r="291" spans="1:6" ht="16.95" customHeight="1" x14ac:dyDescent="0.25">
      <c r="A291" s="328"/>
      <c r="B291" s="325"/>
      <c r="C291" s="320"/>
      <c r="D291" s="308" t="s">
        <v>18</v>
      </c>
      <c r="E291" s="316">
        <v>1927360.82</v>
      </c>
      <c r="F291" s="297"/>
    </row>
    <row r="292" spans="1:6" ht="16.95" customHeight="1" x14ac:dyDescent="0.25">
      <c r="A292" s="326">
        <v>85</v>
      </c>
      <c r="B292" s="323" t="s">
        <v>73</v>
      </c>
      <c r="C292" s="319">
        <v>7</v>
      </c>
      <c r="D292" s="308" t="s">
        <v>16</v>
      </c>
      <c r="E292" s="316">
        <v>3702831.57</v>
      </c>
      <c r="F292" s="297"/>
    </row>
    <row r="293" spans="1:6" ht="16.95" customHeight="1" x14ac:dyDescent="0.25">
      <c r="A293" s="327"/>
      <c r="B293" s="324"/>
      <c r="C293" s="322"/>
      <c r="D293" s="308" t="s">
        <v>17</v>
      </c>
      <c r="E293" s="316">
        <v>151890.07999999999</v>
      </c>
      <c r="F293" s="297"/>
    </row>
    <row r="294" spans="1:6" ht="16.95" customHeight="1" x14ac:dyDescent="0.25">
      <c r="A294" s="328"/>
      <c r="B294" s="325"/>
      <c r="C294" s="320"/>
      <c r="D294" s="308" t="s">
        <v>18</v>
      </c>
      <c r="E294" s="316">
        <v>3854721.65</v>
      </c>
      <c r="F294" s="297"/>
    </row>
    <row r="295" spans="1:6" ht="16.95" customHeight="1" x14ac:dyDescent="0.25">
      <c r="A295" s="326">
        <v>86</v>
      </c>
      <c r="B295" s="323" t="s">
        <v>73</v>
      </c>
      <c r="C295" s="319">
        <v>11</v>
      </c>
      <c r="D295" s="308" t="s">
        <v>16</v>
      </c>
      <c r="E295" s="282">
        <v>7405663.1399999997</v>
      </c>
      <c r="F295" s="297"/>
    </row>
    <row r="296" spans="1:6" ht="16.95" customHeight="1" x14ac:dyDescent="0.25">
      <c r="A296" s="327"/>
      <c r="B296" s="324"/>
      <c r="C296" s="322"/>
      <c r="D296" s="308" t="s">
        <v>17</v>
      </c>
      <c r="E296" s="282">
        <v>303780.15999999997</v>
      </c>
      <c r="F296" s="297"/>
    </row>
    <row r="297" spans="1:6" ht="16.95" customHeight="1" x14ac:dyDescent="0.25">
      <c r="A297" s="328"/>
      <c r="B297" s="325"/>
      <c r="C297" s="320"/>
      <c r="D297" s="308" t="s">
        <v>18</v>
      </c>
      <c r="E297" s="282">
        <v>7709443.2999999998</v>
      </c>
      <c r="F297" s="297"/>
    </row>
    <row r="298" spans="1:6" ht="16.95" customHeight="1" x14ac:dyDescent="0.25">
      <c r="A298" s="326">
        <v>87</v>
      </c>
      <c r="B298" s="323" t="s">
        <v>73</v>
      </c>
      <c r="C298" s="319">
        <v>19</v>
      </c>
      <c r="D298" s="308" t="s">
        <v>16</v>
      </c>
      <c r="E298" s="316">
        <v>1851415.78</v>
      </c>
      <c r="F298" s="297"/>
    </row>
    <row r="299" spans="1:6" ht="16.95" customHeight="1" x14ac:dyDescent="0.25">
      <c r="A299" s="327"/>
      <c r="B299" s="324"/>
      <c r="C299" s="322"/>
      <c r="D299" s="308" t="s">
        <v>17</v>
      </c>
      <c r="E299" s="316">
        <v>75945.039999999994</v>
      </c>
      <c r="F299" s="297"/>
    </row>
    <row r="300" spans="1:6" ht="16.95" customHeight="1" x14ac:dyDescent="0.25">
      <c r="A300" s="328"/>
      <c r="B300" s="325"/>
      <c r="C300" s="320"/>
      <c r="D300" s="308" t="s">
        <v>18</v>
      </c>
      <c r="E300" s="316">
        <v>1927360.82</v>
      </c>
      <c r="F300" s="297"/>
    </row>
    <row r="301" spans="1:6" ht="16.95" customHeight="1" x14ac:dyDescent="0.25">
      <c r="A301" s="326">
        <v>88</v>
      </c>
      <c r="B301" s="323" t="s">
        <v>73</v>
      </c>
      <c r="C301" s="319">
        <v>21</v>
      </c>
      <c r="D301" s="308" t="s">
        <v>16</v>
      </c>
      <c r="E301" s="316">
        <v>1851415.78</v>
      </c>
      <c r="F301" s="297"/>
    </row>
    <row r="302" spans="1:6" ht="16.95" customHeight="1" x14ac:dyDescent="0.25">
      <c r="A302" s="327"/>
      <c r="B302" s="324"/>
      <c r="C302" s="322"/>
      <c r="D302" s="308" t="s">
        <v>17</v>
      </c>
      <c r="E302" s="316">
        <v>75945.039999999994</v>
      </c>
      <c r="F302" s="297"/>
    </row>
    <row r="303" spans="1:6" ht="16.95" customHeight="1" x14ac:dyDescent="0.25">
      <c r="A303" s="328"/>
      <c r="B303" s="325"/>
      <c r="C303" s="320"/>
      <c r="D303" s="308" t="s">
        <v>18</v>
      </c>
      <c r="E303" s="316">
        <v>1927360.82</v>
      </c>
      <c r="F303" s="297"/>
    </row>
    <row r="304" spans="1:6" ht="16.95" customHeight="1" x14ac:dyDescent="0.25">
      <c r="A304" s="326">
        <v>89</v>
      </c>
      <c r="B304" s="323" t="s">
        <v>73</v>
      </c>
      <c r="C304" s="319">
        <v>22</v>
      </c>
      <c r="D304" s="308" t="s">
        <v>16</v>
      </c>
      <c r="E304" s="316">
        <v>3702831.57</v>
      </c>
      <c r="F304" s="297"/>
    </row>
    <row r="305" spans="1:6" ht="16.95" customHeight="1" x14ac:dyDescent="0.25">
      <c r="A305" s="327"/>
      <c r="B305" s="324"/>
      <c r="C305" s="322"/>
      <c r="D305" s="308" t="s">
        <v>17</v>
      </c>
      <c r="E305" s="316">
        <v>151890.07999999999</v>
      </c>
      <c r="F305" s="297"/>
    </row>
    <row r="306" spans="1:6" ht="16.95" customHeight="1" x14ac:dyDescent="0.25">
      <c r="A306" s="328"/>
      <c r="B306" s="325"/>
      <c r="C306" s="320"/>
      <c r="D306" s="308" t="s">
        <v>18</v>
      </c>
      <c r="E306" s="316">
        <v>3854721.65</v>
      </c>
      <c r="F306" s="297"/>
    </row>
    <row r="307" spans="1:6" ht="16.95" customHeight="1" x14ac:dyDescent="0.25">
      <c r="A307" s="326">
        <v>90</v>
      </c>
      <c r="B307" s="323" t="s">
        <v>73</v>
      </c>
      <c r="C307" s="319">
        <v>23</v>
      </c>
      <c r="D307" s="308" t="s">
        <v>16</v>
      </c>
      <c r="E307" s="316">
        <v>1851415.78</v>
      </c>
      <c r="F307" s="297"/>
    </row>
    <row r="308" spans="1:6" ht="16.95" customHeight="1" x14ac:dyDescent="0.25">
      <c r="A308" s="327"/>
      <c r="B308" s="324"/>
      <c r="C308" s="322"/>
      <c r="D308" s="308" t="s">
        <v>17</v>
      </c>
      <c r="E308" s="316">
        <v>75945.039999999994</v>
      </c>
      <c r="F308" s="297"/>
    </row>
    <row r="309" spans="1:6" ht="16.95" customHeight="1" x14ac:dyDescent="0.25">
      <c r="A309" s="328"/>
      <c r="B309" s="325"/>
      <c r="C309" s="320"/>
      <c r="D309" s="308" t="s">
        <v>18</v>
      </c>
      <c r="E309" s="316">
        <v>1927360.82</v>
      </c>
      <c r="F309" s="297"/>
    </row>
    <row r="310" spans="1:6" ht="16.95" customHeight="1" x14ac:dyDescent="0.25">
      <c r="A310" s="326">
        <v>91</v>
      </c>
      <c r="B310" s="323" t="s">
        <v>73</v>
      </c>
      <c r="C310" s="319">
        <v>24</v>
      </c>
      <c r="D310" s="308" t="s">
        <v>16</v>
      </c>
      <c r="E310" s="316">
        <v>1851415.78</v>
      </c>
      <c r="F310" s="297"/>
    </row>
    <row r="311" spans="1:6" ht="16.95" customHeight="1" x14ac:dyDescent="0.25">
      <c r="A311" s="327"/>
      <c r="B311" s="324"/>
      <c r="C311" s="322"/>
      <c r="D311" s="308" t="s">
        <v>17</v>
      </c>
      <c r="E311" s="316">
        <v>75945.039999999994</v>
      </c>
      <c r="F311" s="297"/>
    </row>
    <row r="312" spans="1:6" ht="16.95" customHeight="1" x14ac:dyDescent="0.25">
      <c r="A312" s="328"/>
      <c r="B312" s="325"/>
      <c r="C312" s="320"/>
      <c r="D312" s="308" t="s">
        <v>18</v>
      </c>
      <c r="E312" s="316">
        <v>1927360.82</v>
      </c>
      <c r="F312" s="297"/>
    </row>
    <row r="313" spans="1:6" ht="16.95" customHeight="1" x14ac:dyDescent="0.25">
      <c r="A313" s="326">
        <v>92</v>
      </c>
      <c r="B313" s="323" t="s">
        <v>73</v>
      </c>
      <c r="C313" s="319">
        <v>25</v>
      </c>
      <c r="D313" s="308" t="s">
        <v>16</v>
      </c>
      <c r="E313" s="316">
        <v>3702831.57</v>
      </c>
      <c r="F313" s="297"/>
    </row>
    <row r="314" spans="1:6" ht="16.95" customHeight="1" x14ac:dyDescent="0.25">
      <c r="A314" s="327"/>
      <c r="B314" s="324"/>
      <c r="C314" s="322"/>
      <c r="D314" s="308" t="s">
        <v>17</v>
      </c>
      <c r="E314" s="316">
        <v>151890.07999999999</v>
      </c>
      <c r="F314" s="297"/>
    </row>
    <row r="315" spans="1:6" ht="16.95" customHeight="1" x14ac:dyDescent="0.25">
      <c r="A315" s="328"/>
      <c r="B315" s="325"/>
      <c r="C315" s="320"/>
      <c r="D315" s="308" t="s">
        <v>18</v>
      </c>
      <c r="E315" s="316">
        <v>3854721.65</v>
      </c>
      <c r="F315" s="297"/>
    </row>
    <row r="316" spans="1:6" ht="16.95" customHeight="1" x14ac:dyDescent="0.25">
      <c r="A316" s="315">
        <v>93</v>
      </c>
      <c r="B316" s="286" t="s">
        <v>73</v>
      </c>
      <c r="C316" s="314">
        <v>26</v>
      </c>
      <c r="D316" s="308" t="s">
        <v>16</v>
      </c>
      <c r="E316" s="282">
        <v>7405663.1399999997</v>
      </c>
      <c r="F316" s="297"/>
    </row>
    <row r="317" spans="1:6" ht="17.25" customHeight="1" x14ac:dyDescent="0.25">
      <c r="A317" s="315">
        <v>1</v>
      </c>
      <c r="B317" s="314">
        <v>2</v>
      </c>
      <c r="C317" s="314">
        <v>3</v>
      </c>
      <c r="D317" s="315">
        <v>4</v>
      </c>
      <c r="E317" s="299">
        <v>5</v>
      </c>
      <c r="F317" s="297"/>
    </row>
    <row r="318" spans="1:6" ht="16.95" customHeight="1" x14ac:dyDescent="0.25">
      <c r="A318" s="327"/>
      <c r="B318" s="322"/>
      <c r="C318" s="322"/>
      <c r="D318" s="308" t="s">
        <v>17</v>
      </c>
      <c r="E318" s="282">
        <v>303780.15999999997</v>
      </c>
      <c r="F318" s="297"/>
    </row>
    <row r="319" spans="1:6" ht="16.95" customHeight="1" x14ac:dyDescent="0.25">
      <c r="A319" s="328"/>
      <c r="B319" s="320"/>
      <c r="C319" s="320"/>
      <c r="D319" s="308" t="s">
        <v>18</v>
      </c>
      <c r="E319" s="282">
        <v>7709443.2999999998</v>
      </c>
      <c r="F319" s="297"/>
    </row>
    <row r="320" spans="1:6" ht="16.95" customHeight="1" x14ac:dyDescent="0.25">
      <c r="A320" s="326">
        <v>94</v>
      </c>
      <c r="B320" s="323" t="s">
        <v>73</v>
      </c>
      <c r="C320" s="319">
        <v>28</v>
      </c>
      <c r="D320" s="308" t="s">
        <v>16</v>
      </c>
      <c r="E320" s="316">
        <v>1851415.78</v>
      </c>
      <c r="F320" s="297"/>
    </row>
    <row r="321" spans="1:6" ht="16.95" customHeight="1" x14ac:dyDescent="0.25">
      <c r="A321" s="327"/>
      <c r="B321" s="324"/>
      <c r="C321" s="322"/>
      <c r="D321" s="308" t="s">
        <v>17</v>
      </c>
      <c r="E321" s="316">
        <v>75945.039999999994</v>
      </c>
      <c r="F321" s="297"/>
    </row>
    <row r="322" spans="1:6" ht="16.95" customHeight="1" x14ac:dyDescent="0.25">
      <c r="A322" s="328"/>
      <c r="B322" s="325"/>
      <c r="C322" s="320"/>
      <c r="D322" s="308" t="s">
        <v>18</v>
      </c>
      <c r="E322" s="316">
        <v>1927360.82</v>
      </c>
      <c r="F322" s="297"/>
    </row>
    <row r="323" spans="1:6" ht="16.95" customHeight="1" x14ac:dyDescent="0.25">
      <c r="A323" s="326">
        <v>95</v>
      </c>
      <c r="B323" s="323" t="s">
        <v>73</v>
      </c>
      <c r="C323" s="319">
        <v>33</v>
      </c>
      <c r="D323" s="308" t="s">
        <v>16</v>
      </c>
      <c r="E323" s="282">
        <v>7405663.1399999997</v>
      </c>
      <c r="F323" s="297"/>
    </row>
    <row r="324" spans="1:6" ht="16.95" customHeight="1" x14ac:dyDescent="0.25">
      <c r="A324" s="327"/>
      <c r="B324" s="324"/>
      <c r="C324" s="322"/>
      <c r="D324" s="308" t="s">
        <v>17</v>
      </c>
      <c r="E324" s="282">
        <v>303780.15999999997</v>
      </c>
      <c r="F324" s="297"/>
    </row>
    <row r="325" spans="1:6" ht="16.95" customHeight="1" x14ac:dyDescent="0.25">
      <c r="A325" s="328"/>
      <c r="B325" s="325"/>
      <c r="C325" s="320"/>
      <c r="D325" s="308" t="s">
        <v>18</v>
      </c>
      <c r="E325" s="282">
        <v>7709443.2999999998</v>
      </c>
      <c r="F325" s="297"/>
    </row>
    <row r="326" spans="1:6" ht="16.95" customHeight="1" x14ac:dyDescent="0.25">
      <c r="A326" s="326">
        <v>96</v>
      </c>
      <c r="B326" s="323" t="s">
        <v>73</v>
      </c>
      <c r="C326" s="319">
        <v>34</v>
      </c>
      <c r="D326" s="308" t="s">
        <v>16</v>
      </c>
      <c r="E326" s="316">
        <v>1851415.78</v>
      </c>
      <c r="F326" s="297"/>
    </row>
    <row r="327" spans="1:6" ht="16.95" customHeight="1" x14ac:dyDescent="0.25">
      <c r="A327" s="327"/>
      <c r="B327" s="324"/>
      <c r="C327" s="322"/>
      <c r="D327" s="308" t="s">
        <v>17</v>
      </c>
      <c r="E327" s="316">
        <v>75945.039999999994</v>
      </c>
      <c r="F327" s="297"/>
    </row>
    <row r="328" spans="1:6" ht="16.95" customHeight="1" x14ac:dyDescent="0.25">
      <c r="A328" s="328"/>
      <c r="B328" s="325"/>
      <c r="C328" s="320"/>
      <c r="D328" s="308" t="s">
        <v>18</v>
      </c>
      <c r="E328" s="316">
        <v>1927360.82</v>
      </c>
      <c r="F328" s="297"/>
    </row>
    <row r="329" spans="1:6" ht="16.95" customHeight="1" x14ac:dyDescent="0.25">
      <c r="A329" s="326">
        <v>97</v>
      </c>
      <c r="B329" s="323" t="s">
        <v>73</v>
      </c>
      <c r="C329" s="319">
        <v>36</v>
      </c>
      <c r="D329" s="308" t="s">
        <v>16</v>
      </c>
      <c r="E329" s="316">
        <v>3702831.57</v>
      </c>
      <c r="F329" s="297"/>
    </row>
    <row r="330" spans="1:6" ht="16.95" customHeight="1" x14ac:dyDescent="0.25">
      <c r="A330" s="327"/>
      <c r="B330" s="324"/>
      <c r="C330" s="322"/>
      <c r="D330" s="308" t="s">
        <v>17</v>
      </c>
      <c r="E330" s="316">
        <v>151890.07999999999</v>
      </c>
      <c r="F330" s="297"/>
    </row>
    <row r="331" spans="1:6" ht="16.95" customHeight="1" x14ac:dyDescent="0.25">
      <c r="A331" s="328"/>
      <c r="B331" s="325"/>
      <c r="C331" s="320"/>
      <c r="D331" s="308" t="s">
        <v>18</v>
      </c>
      <c r="E331" s="316">
        <v>3854721.65</v>
      </c>
      <c r="F331" s="297"/>
    </row>
    <row r="332" spans="1:6" ht="16.95" customHeight="1" x14ac:dyDescent="0.25">
      <c r="A332" s="326">
        <v>98</v>
      </c>
      <c r="B332" s="323" t="s">
        <v>74</v>
      </c>
      <c r="C332" s="319">
        <v>1</v>
      </c>
      <c r="D332" s="308" t="s">
        <v>22</v>
      </c>
      <c r="E332" s="282">
        <v>2377151.2400000002</v>
      </c>
      <c r="F332" s="297"/>
    </row>
    <row r="333" spans="1:6" ht="16.95" customHeight="1" x14ac:dyDescent="0.25">
      <c r="A333" s="327"/>
      <c r="B333" s="324"/>
      <c r="C333" s="322"/>
      <c r="D333" s="308" t="s">
        <v>17</v>
      </c>
      <c r="E333" s="282">
        <v>124000</v>
      </c>
      <c r="F333" s="297"/>
    </row>
    <row r="334" spans="1:6" ht="16.95" customHeight="1" x14ac:dyDescent="0.25">
      <c r="A334" s="328"/>
      <c r="B334" s="325"/>
      <c r="C334" s="320"/>
      <c r="D334" s="308" t="s">
        <v>18</v>
      </c>
      <c r="E334" s="282">
        <v>2501151.2400000002</v>
      </c>
      <c r="F334" s="297"/>
    </row>
    <row r="335" spans="1:6" ht="16.95" customHeight="1" x14ac:dyDescent="0.25">
      <c r="A335" s="326">
        <v>99</v>
      </c>
      <c r="B335" s="321" t="s">
        <v>74</v>
      </c>
      <c r="C335" s="319">
        <v>8</v>
      </c>
      <c r="D335" s="308" t="s">
        <v>22</v>
      </c>
      <c r="E335" s="282">
        <v>2377151.2400000002</v>
      </c>
      <c r="F335" s="297"/>
    </row>
    <row r="336" spans="1:6" ht="16.95" customHeight="1" x14ac:dyDescent="0.25">
      <c r="A336" s="327"/>
      <c r="B336" s="321"/>
      <c r="C336" s="322"/>
      <c r="D336" s="308" t="s">
        <v>17</v>
      </c>
      <c r="E336" s="282">
        <v>124000</v>
      </c>
      <c r="F336" s="297"/>
    </row>
    <row r="337" spans="1:6" ht="16.95" customHeight="1" x14ac:dyDescent="0.25">
      <c r="A337" s="328"/>
      <c r="B337" s="321"/>
      <c r="C337" s="320"/>
      <c r="D337" s="308" t="s">
        <v>18</v>
      </c>
      <c r="E337" s="282">
        <v>2501151.2400000002</v>
      </c>
      <c r="F337" s="297"/>
    </row>
    <row r="338" spans="1:6" ht="16.95" customHeight="1" x14ac:dyDescent="0.25">
      <c r="A338" s="326">
        <v>100</v>
      </c>
      <c r="B338" s="321" t="s">
        <v>74</v>
      </c>
      <c r="C338" s="319">
        <v>10</v>
      </c>
      <c r="D338" s="308" t="s">
        <v>22</v>
      </c>
      <c r="E338" s="282">
        <v>2377151.2400000002</v>
      </c>
      <c r="F338" s="297"/>
    </row>
    <row r="339" spans="1:6" ht="16.95" customHeight="1" x14ac:dyDescent="0.25">
      <c r="A339" s="327"/>
      <c r="B339" s="321"/>
      <c r="C339" s="322"/>
      <c r="D339" s="308" t="s">
        <v>17</v>
      </c>
      <c r="E339" s="282">
        <v>124000</v>
      </c>
      <c r="F339" s="297"/>
    </row>
    <row r="340" spans="1:6" ht="16.95" customHeight="1" x14ac:dyDescent="0.25">
      <c r="A340" s="328"/>
      <c r="B340" s="321"/>
      <c r="C340" s="320"/>
      <c r="D340" s="308" t="s">
        <v>18</v>
      </c>
      <c r="E340" s="282">
        <v>2501151.2400000002</v>
      </c>
      <c r="F340" s="297"/>
    </row>
    <row r="341" spans="1:6" ht="16.95" customHeight="1" x14ac:dyDescent="0.25">
      <c r="A341" s="329">
        <v>101</v>
      </c>
      <c r="B341" s="321" t="s">
        <v>75</v>
      </c>
      <c r="C341" s="330">
        <v>23</v>
      </c>
      <c r="D341" s="308" t="s">
        <v>27</v>
      </c>
      <c r="E341" s="316">
        <v>19917322.890000001</v>
      </c>
      <c r="F341" s="297"/>
    </row>
    <row r="342" spans="1:6" ht="16.95" customHeight="1" x14ac:dyDescent="0.25">
      <c r="A342" s="329"/>
      <c r="B342" s="321"/>
      <c r="C342" s="330"/>
      <c r="D342" s="308" t="s">
        <v>28</v>
      </c>
      <c r="E342" s="316">
        <v>3866136.66</v>
      </c>
      <c r="F342" s="297"/>
    </row>
    <row r="343" spans="1:6" ht="16.95" customHeight="1" x14ac:dyDescent="0.25">
      <c r="A343" s="329"/>
      <c r="B343" s="321"/>
      <c r="C343" s="330"/>
      <c r="D343" s="308" t="s">
        <v>29</v>
      </c>
      <c r="E343" s="316">
        <v>3823919.55</v>
      </c>
      <c r="F343" s="297"/>
    </row>
    <row r="344" spans="1:6" ht="16.95" customHeight="1" x14ac:dyDescent="0.25">
      <c r="A344" s="329"/>
      <c r="B344" s="321"/>
      <c r="C344" s="330"/>
      <c r="D344" s="308" t="s">
        <v>59</v>
      </c>
      <c r="E344" s="316">
        <v>1215410.51</v>
      </c>
      <c r="F344" s="297"/>
    </row>
    <row r="345" spans="1:6" ht="16.95" customHeight="1" x14ac:dyDescent="0.25">
      <c r="A345" s="329"/>
      <c r="B345" s="321"/>
      <c r="C345" s="330"/>
      <c r="D345" s="308" t="s">
        <v>30</v>
      </c>
      <c r="E345" s="316">
        <v>3832541.35</v>
      </c>
      <c r="F345" s="297"/>
    </row>
    <row r="346" spans="1:6" ht="17.25" customHeight="1" x14ac:dyDescent="0.25">
      <c r="A346" s="315">
        <v>1</v>
      </c>
      <c r="B346" s="314">
        <v>2</v>
      </c>
      <c r="C346" s="314">
        <v>3</v>
      </c>
      <c r="D346" s="315">
        <v>4</v>
      </c>
      <c r="E346" s="299">
        <v>5</v>
      </c>
      <c r="F346" s="297"/>
    </row>
    <row r="347" spans="1:6" ht="16.95" customHeight="1" x14ac:dyDescent="0.25">
      <c r="A347" s="303"/>
      <c r="B347" s="319"/>
      <c r="C347" s="319"/>
      <c r="D347" s="308" t="s">
        <v>32</v>
      </c>
      <c r="E347" s="316">
        <v>1457558.06</v>
      </c>
      <c r="F347" s="297"/>
    </row>
    <row r="348" spans="1:6" ht="16.95" customHeight="1" x14ac:dyDescent="0.25">
      <c r="A348" s="301"/>
      <c r="B348" s="320"/>
      <c r="C348" s="320"/>
      <c r="D348" s="308" t="s">
        <v>18</v>
      </c>
      <c r="E348" s="316">
        <v>34112889.020000003</v>
      </c>
      <c r="F348" s="297"/>
    </row>
    <row r="349" spans="1:6" ht="16.95" customHeight="1" x14ac:dyDescent="0.25">
      <c r="A349" s="329">
        <v>102</v>
      </c>
      <c r="B349" s="338" t="s">
        <v>76</v>
      </c>
      <c r="C349" s="339">
        <v>4</v>
      </c>
      <c r="D349" s="308" t="s">
        <v>77</v>
      </c>
      <c r="E349" s="316">
        <v>1787495.94</v>
      </c>
      <c r="F349" s="297"/>
    </row>
    <row r="350" spans="1:6" ht="16.95" customHeight="1" x14ac:dyDescent="0.25">
      <c r="A350" s="329"/>
      <c r="B350" s="338"/>
      <c r="C350" s="339"/>
      <c r="D350" s="308" t="s">
        <v>32</v>
      </c>
      <c r="E350" s="316">
        <v>486639.82</v>
      </c>
      <c r="F350" s="297"/>
    </row>
    <row r="351" spans="1:6" ht="16.95" customHeight="1" x14ac:dyDescent="0.25">
      <c r="A351" s="329"/>
      <c r="B351" s="338"/>
      <c r="C351" s="339"/>
      <c r="D351" s="308" t="s">
        <v>18</v>
      </c>
      <c r="E351" s="316">
        <v>2274135.7599999998</v>
      </c>
      <c r="F351" s="297"/>
    </row>
    <row r="352" spans="1:6" ht="16.95" customHeight="1" x14ac:dyDescent="0.25">
      <c r="A352" s="329">
        <v>103</v>
      </c>
      <c r="B352" s="337" t="s">
        <v>865</v>
      </c>
      <c r="C352" s="330" t="s">
        <v>78</v>
      </c>
      <c r="D352" s="308" t="s">
        <v>59</v>
      </c>
      <c r="E352" s="316">
        <v>1215410.51</v>
      </c>
      <c r="F352" s="297"/>
    </row>
    <row r="353" spans="1:6" ht="16.95" customHeight="1" x14ac:dyDescent="0.25">
      <c r="A353" s="329"/>
      <c r="B353" s="321"/>
      <c r="C353" s="330"/>
      <c r="D353" s="308" t="s">
        <v>32</v>
      </c>
      <c r="E353" s="316">
        <v>224000</v>
      </c>
      <c r="F353" s="297"/>
    </row>
    <row r="354" spans="1:6" ht="16.95" customHeight="1" x14ac:dyDescent="0.25">
      <c r="A354" s="329"/>
      <c r="B354" s="321"/>
      <c r="C354" s="330"/>
      <c r="D354" s="308" t="s">
        <v>18</v>
      </c>
      <c r="E354" s="316">
        <v>1439410.51</v>
      </c>
      <c r="F354" s="297"/>
    </row>
    <row r="355" spans="1:6" ht="16.95" customHeight="1" x14ac:dyDescent="0.25">
      <c r="A355" s="329">
        <v>104</v>
      </c>
      <c r="B355" s="321" t="s">
        <v>79</v>
      </c>
      <c r="C355" s="330" t="s">
        <v>80</v>
      </c>
      <c r="D355" s="308" t="s">
        <v>16</v>
      </c>
      <c r="E355" s="316">
        <v>5554247.3499999996</v>
      </c>
      <c r="F355" s="297"/>
    </row>
    <row r="356" spans="1:6" ht="16.95" customHeight="1" x14ac:dyDescent="0.25">
      <c r="A356" s="329"/>
      <c r="B356" s="321"/>
      <c r="C356" s="330"/>
      <c r="D356" s="308" t="s">
        <v>32</v>
      </c>
      <c r="E356" s="316">
        <v>227835.12</v>
      </c>
      <c r="F356" s="297"/>
    </row>
    <row r="357" spans="1:6" ht="16.95" customHeight="1" x14ac:dyDescent="0.25">
      <c r="A357" s="329"/>
      <c r="B357" s="321"/>
      <c r="C357" s="330"/>
      <c r="D357" s="308" t="s">
        <v>18</v>
      </c>
      <c r="E357" s="316">
        <v>5782082.4699999997</v>
      </c>
      <c r="F357" s="297"/>
    </row>
    <row r="358" spans="1:6" ht="16.95" customHeight="1" x14ac:dyDescent="0.25">
      <c r="A358" s="326">
        <v>105</v>
      </c>
      <c r="B358" s="323" t="s">
        <v>81</v>
      </c>
      <c r="C358" s="319">
        <v>102</v>
      </c>
      <c r="D358" s="308" t="s">
        <v>16</v>
      </c>
      <c r="E358" s="282">
        <v>7405663.1399999997</v>
      </c>
      <c r="F358" s="297"/>
    </row>
    <row r="359" spans="1:6" ht="16.95" customHeight="1" x14ac:dyDescent="0.25">
      <c r="A359" s="327"/>
      <c r="B359" s="324"/>
      <c r="C359" s="322"/>
      <c r="D359" s="308" t="s">
        <v>17</v>
      </c>
      <c r="E359" s="282">
        <v>303780.15999999997</v>
      </c>
      <c r="F359" s="297"/>
    </row>
    <row r="360" spans="1:6" ht="16.95" customHeight="1" x14ac:dyDescent="0.25">
      <c r="A360" s="328"/>
      <c r="B360" s="325"/>
      <c r="C360" s="320"/>
      <c r="D360" s="308" t="s">
        <v>18</v>
      </c>
      <c r="E360" s="282">
        <v>7709443.2999999998</v>
      </c>
      <c r="F360" s="297"/>
    </row>
    <row r="361" spans="1:6" ht="16.95" customHeight="1" x14ac:dyDescent="0.25">
      <c r="A361" s="326">
        <v>106</v>
      </c>
      <c r="B361" s="323" t="s">
        <v>81</v>
      </c>
      <c r="C361" s="319" t="s">
        <v>82</v>
      </c>
      <c r="D361" s="308" t="s">
        <v>16</v>
      </c>
      <c r="E361" s="316">
        <v>1851415.78</v>
      </c>
      <c r="F361" s="297"/>
    </row>
    <row r="362" spans="1:6" ht="16.95" customHeight="1" x14ac:dyDescent="0.25">
      <c r="A362" s="327"/>
      <c r="B362" s="324"/>
      <c r="C362" s="322"/>
      <c r="D362" s="308" t="s">
        <v>17</v>
      </c>
      <c r="E362" s="316">
        <v>75945.039999999994</v>
      </c>
      <c r="F362" s="297"/>
    </row>
    <row r="363" spans="1:6" ht="16.95" customHeight="1" x14ac:dyDescent="0.25">
      <c r="A363" s="328"/>
      <c r="B363" s="325"/>
      <c r="C363" s="320"/>
      <c r="D363" s="308" t="s">
        <v>18</v>
      </c>
      <c r="E363" s="316">
        <v>1927360.82</v>
      </c>
      <c r="F363" s="297"/>
    </row>
    <row r="364" spans="1:6" ht="16.95" customHeight="1" x14ac:dyDescent="0.25">
      <c r="A364" s="329">
        <v>107</v>
      </c>
      <c r="B364" s="321" t="s">
        <v>81</v>
      </c>
      <c r="C364" s="330" t="s">
        <v>83</v>
      </c>
      <c r="D364" s="308" t="s">
        <v>16</v>
      </c>
      <c r="E364" s="316">
        <v>1851415.78</v>
      </c>
      <c r="F364" s="297"/>
    </row>
    <row r="365" spans="1:6" ht="16.95" customHeight="1" x14ac:dyDescent="0.25">
      <c r="A365" s="329"/>
      <c r="B365" s="321"/>
      <c r="C365" s="330"/>
      <c r="D365" s="308" t="s">
        <v>17</v>
      </c>
      <c r="E365" s="316">
        <v>75945.039999999994</v>
      </c>
      <c r="F365" s="297"/>
    </row>
    <row r="366" spans="1:6" ht="16.95" customHeight="1" x14ac:dyDescent="0.25">
      <c r="A366" s="329"/>
      <c r="B366" s="321"/>
      <c r="C366" s="330"/>
      <c r="D366" s="308" t="s">
        <v>18</v>
      </c>
      <c r="E366" s="316">
        <v>1927360.82</v>
      </c>
      <c r="F366" s="297"/>
    </row>
    <row r="367" spans="1:6" ht="16.95" customHeight="1" x14ac:dyDescent="0.25">
      <c r="A367" s="329">
        <v>108</v>
      </c>
      <c r="B367" s="321" t="s">
        <v>81</v>
      </c>
      <c r="C367" s="330" t="s">
        <v>84</v>
      </c>
      <c r="D367" s="308" t="s">
        <v>16</v>
      </c>
      <c r="E367" s="316">
        <v>3702831.57</v>
      </c>
      <c r="F367" s="297"/>
    </row>
    <row r="368" spans="1:6" ht="16.95" customHeight="1" x14ac:dyDescent="0.25">
      <c r="A368" s="329"/>
      <c r="B368" s="321"/>
      <c r="C368" s="330"/>
      <c r="D368" s="308" t="s">
        <v>17</v>
      </c>
      <c r="E368" s="316">
        <v>151890.07999999999</v>
      </c>
      <c r="F368" s="297"/>
    </row>
    <row r="369" spans="1:6" ht="16.95" customHeight="1" x14ac:dyDescent="0.25">
      <c r="A369" s="329"/>
      <c r="B369" s="321"/>
      <c r="C369" s="330"/>
      <c r="D369" s="308" t="s">
        <v>18</v>
      </c>
      <c r="E369" s="316">
        <v>3854721.65</v>
      </c>
      <c r="F369" s="297"/>
    </row>
    <row r="370" spans="1:6" ht="16.95" customHeight="1" x14ac:dyDescent="0.25">
      <c r="A370" s="329">
        <v>109</v>
      </c>
      <c r="B370" s="321" t="s">
        <v>81</v>
      </c>
      <c r="C370" s="330" t="s">
        <v>85</v>
      </c>
      <c r="D370" s="308" t="s">
        <v>16</v>
      </c>
      <c r="E370" s="316">
        <v>1851415.78</v>
      </c>
      <c r="F370" s="297"/>
    </row>
    <row r="371" spans="1:6" ht="16.95" customHeight="1" x14ac:dyDescent="0.25">
      <c r="A371" s="329"/>
      <c r="B371" s="321"/>
      <c r="C371" s="330"/>
      <c r="D371" s="308" t="s">
        <v>17</v>
      </c>
      <c r="E371" s="316">
        <v>75945.039999999994</v>
      </c>
      <c r="F371" s="297"/>
    </row>
    <row r="372" spans="1:6" ht="16.95" customHeight="1" x14ac:dyDescent="0.25">
      <c r="A372" s="329"/>
      <c r="B372" s="321"/>
      <c r="C372" s="330"/>
      <c r="D372" s="308" t="s">
        <v>18</v>
      </c>
      <c r="E372" s="316">
        <v>1927360.82</v>
      </c>
      <c r="F372" s="297"/>
    </row>
    <row r="373" spans="1:6" ht="16.95" customHeight="1" x14ac:dyDescent="0.25">
      <c r="A373" s="329">
        <v>110</v>
      </c>
      <c r="B373" s="321" t="s">
        <v>81</v>
      </c>
      <c r="C373" s="330" t="s">
        <v>86</v>
      </c>
      <c r="D373" s="308" t="s">
        <v>16</v>
      </c>
      <c r="E373" s="316">
        <v>3702831.57</v>
      </c>
      <c r="F373" s="297"/>
    </row>
    <row r="374" spans="1:6" ht="16.95" customHeight="1" x14ac:dyDescent="0.25">
      <c r="A374" s="329"/>
      <c r="B374" s="321"/>
      <c r="C374" s="330"/>
      <c r="D374" s="308" t="s">
        <v>17</v>
      </c>
      <c r="E374" s="316">
        <v>151890.07999999999</v>
      </c>
      <c r="F374" s="297"/>
    </row>
    <row r="375" spans="1:6" ht="16.95" customHeight="1" x14ac:dyDescent="0.25">
      <c r="A375" s="315">
        <v>1</v>
      </c>
      <c r="B375" s="314">
        <v>2</v>
      </c>
      <c r="C375" s="314">
        <v>3</v>
      </c>
      <c r="D375" s="315">
        <v>4</v>
      </c>
      <c r="E375" s="299">
        <v>5</v>
      </c>
      <c r="F375" s="297"/>
    </row>
    <row r="376" spans="1:6" ht="16.95" customHeight="1" x14ac:dyDescent="0.25">
      <c r="A376" s="301"/>
      <c r="B376" s="288"/>
      <c r="C376" s="288"/>
      <c r="D376" s="308" t="s">
        <v>18</v>
      </c>
      <c r="E376" s="316">
        <v>3854721.65</v>
      </c>
      <c r="F376" s="297"/>
    </row>
    <row r="377" spans="1:6" ht="16.95" customHeight="1" x14ac:dyDescent="0.25">
      <c r="A377" s="329">
        <v>111</v>
      </c>
      <c r="B377" s="321" t="s">
        <v>81</v>
      </c>
      <c r="C377" s="330">
        <v>160</v>
      </c>
      <c r="D377" s="308" t="s">
        <v>16</v>
      </c>
      <c r="E377" s="282">
        <v>7405663.1399999997</v>
      </c>
      <c r="F377" s="297"/>
    </row>
    <row r="378" spans="1:6" ht="16.95" customHeight="1" x14ac:dyDescent="0.25">
      <c r="A378" s="329"/>
      <c r="B378" s="321"/>
      <c r="C378" s="330"/>
      <c r="D378" s="308" t="s">
        <v>17</v>
      </c>
      <c r="E378" s="282">
        <v>303780.15999999997</v>
      </c>
      <c r="F378" s="297"/>
    </row>
    <row r="379" spans="1:6" ht="16.95" customHeight="1" x14ac:dyDescent="0.25">
      <c r="A379" s="329"/>
      <c r="B379" s="321"/>
      <c r="C379" s="330"/>
      <c r="D379" s="308" t="s">
        <v>18</v>
      </c>
      <c r="E379" s="282">
        <v>7709443.2999999998</v>
      </c>
      <c r="F379" s="297"/>
    </row>
    <row r="380" spans="1:6" ht="16.95" customHeight="1" x14ac:dyDescent="0.25">
      <c r="A380" s="326">
        <v>112</v>
      </c>
      <c r="B380" s="323" t="s">
        <v>81</v>
      </c>
      <c r="C380" s="319">
        <v>164</v>
      </c>
      <c r="D380" s="308" t="s">
        <v>16</v>
      </c>
      <c r="E380" s="282">
        <v>7405663.1399999997</v>
      </c>
      <c r="F380" s="297"/>
    </row>
    <row r="381" spans="1:6" ht="16.95" customHeight="1" x14ac:dyDescent="0.25">
      <c r="A381" s="327"/>
      <c r="B381" s="324"/>
      <c r="C381" s="322"/>
      <c r="D381" s="308" t="s">
        <v>17</v>
      </c>
      <c r="E381" s="282">
        <v>303780.15999999997</v>
      </c>
      <c r="F381" s="297"/>
    </row>
    <row r="382" spans="1:6" ht="16.95" customHeight="1" x14ac:dyDescent="0.25">
      <c r="A382" s="328"/>
      <c r="B382" s="325"/>
      <c r="C382" s="320"/>
      <c r="D382" s="308" t="s">
        <v>18</v>
      </c>
      <c r="E382" s="282">
        <v>7709443.2999999998</v>
      </c>
      <c r="F382" s="297"/>
    </row>
    <row r="383" spans="1:6" ht="16.95" customHeight="1" x14ac:dyDescent="0.25">
      <c r="A383" s="329">
        <v>113</v>
      </c>
      <c r="B383" s="321" t="s">
        <v>81</v>
      </c>
      <c r="C383" s="330">
        <v>166</v>
      </c>
      <c r="D383" s="308" t="s">
        <v>16</v>
      </c>
      <c r="E383" s="316">
        <v>3702831.57</v>
      </c>
      <c r="F383" s="297"/>
    </row>
    <row r="384" spans="1:6" ht="16.95" customHeight="1" x14ac:dyDescent="0.25">
      <c r="A384" s="329"/>
      <c r="B384" s="321"/>
      <c r="C384" s="330"/>
      <c r="D384" s="308" t="s">
        <v>17</v>
      </c>
      <c r="E384" s="316">
        <v>151890.07999999999</v>
      </c>
      <c r="F384" s="297"/>
    </row>
    <row r="385" spans="1:6" ht="16.95" customHeight="1" x14ac:dyDescent="0.25">
      <c r="A385" s="329"/>
      <c r="B385" s="321"/>
      <c r="C385" s="330"/>
      <c r="D385" s="308" t="s">
        <v>18</v>
      </c>
      <c r="E385" s="316">
        <v>3854721.65</v>
      </c>
      <c r="F385" s="297"/>
    </row>
    <row r="386" spans="1:6" ht="16.95" customHeight="1" x14ac:dyDescent="0.25">
      <c r="A386" s="326">
        <v>114</v>
      </c>
      <c r="B386" s="323" t="s">
        <v>81</v>
      </c>
      <c r="C386" s="319">
        <v>168</v>
      </c>
      <c r="D386" s="308" t="s">
        <v>16</v>
      </c>
      <c r="E386" s="282">
        <v>7405663.1399999997</v>
      </c>
      <c r="F386" s="297"/>
    </row>
    <row r="387" spans="1:6" ht="16.95" customHeight="1" x14ac:dyDescent="0.25">
      <c r="A387" s="327"/>
      <c r="B387" s="324"/>
      <c r="C387" s="322"/>
      <c r="D387" s="308" t="s">
        <v>17</v>
      </c>
      <c r="E387" s="282">
        <v>303780.15999999997</v>
      </c>
      <c r="F387" s="297"/>
    </row>
    <row r="388" spans="1:6" ht="16.95" customHeight="1" x14ac:dyDescent="0.25">
      <c r="A388" s="328"/>
      <c r="B388" s="325"/>
      <c r="C388" s="320"/>
      <c r="D388" s="308" t="s">
        <v>18</v>
      </c>
      <c r="E388" s="282">
        <v>7709443.2999999998</v>
      </c>
      <c r="F388" s="297"/>
    </row>
    <row r="389" spans="1:6" ht="16.95" customHeight="1" x14ac:dyDescent="0.25">
      <c r="A389" s="329">
        <v>115</v>
      </c>
      <c r="B389" s="321" t="s">
        <v>81</v>
      </c>
      <c r="C389" s="330" t="s">
        <v>87</v>
      </c>
      <c r="D389" s="308" t="s">
        <v>16</v>
      </c>
      <c r="E389" s="316">
        <v>5554247.3499999996</v>
      </c>
      <c r="F389" s="297"/>
    </row>
    <row r="390" spans="1:6" ht="16.95" customHeight="1" x14ac:dyDescent="0.25">
      <c r="A390" s="329"/>
      <c r="B390" s="321"/>
      <c r="C390" s="330"/>
      <c r="D390" s="308" t="s">
        <v>17</v>
      </c>
      <c r="E390" s="316">
        <v>227835.12</v>
      </c>
      <c r="F390" s="297"/>
    </row>
    <row r="391" spans="1:6" ht="16.95" customHeight="1" x14ac:dyDescent="0.25">
      <c r="A391" s="329"/>
      <c r="B391" s="321"/>
      <c r="C391" s="330"/>
      <c r="D391" s="308" t="s">
        <v>18</v>
      </c>
      <c r="E391" s="316">
        <v>5782082.4699999997</v>
      </c>
      <c r="F391" s="297"/>
    </row>
    <row r="392" spans="1:6" ht="16.95" customHeight="1" x14ac:dyDescent="0.25">
      <c r="A392" s="329">
        <v>116</v>
      </c>
      <c r="B392" s="321" t="s">
        <v>81</v>
      </c>
      <c r="C392" s="330" t="s">
        <v>88</v>
      </c>
      <c r="D392" s="308" t="s">
        <v>16</v>
      </c>
      <c r="E392" s="316">
        <v>3702831.57</v>
      </c>
      <c r="F392" s="297"/>
    </row>
    <row r="393" spans="1:6" ht="16.95" customHeight="1" x14ac:dyDescent="0.25">
      <c r="A393" s="329"/>
      <c r="B393" s="321"/>
      <c r="C393" s="330"/>
      <c r="D393" s="308" t="s">
        <v>17</v>
      </c>
      <c r="E393" s="316">
        <v>151890.07999999999</v>
      </c>
      <c r="F393" s="297"/>
    </row>
    <row r="394" spans="1:6" ht="16.95" customHeight="1" x14ac:dyDescent="0.25">
      <c r="A394" s="329"/>
      <c r="B394" s="321"/>
      <c r="C394" s="330"/>
      <c r="D394" s="308" t="s">
        <v>18</v>
      </c>
      <c r="E394" s="316">
        <v>3854721.65</v>
      </c>
      <c r="F394" s="297"/>
    </row>
    <row r="395" spans="1:6" ht="16.95" customHeight="1" x14ac:dyDescent="0.25">
      <c r="A395" s="329">
        <v>117</v>
      </c>
      <c r="B395" s="321" t="s">
        <v>81</v>
      </c>
      <c r="C395" s="330">
        <v>210</v>
      </c>
      <c r="D395" s="308" t="s">
        <v>16</v>
      </c>
      <c r="E395" s="316">
        <v>4351415.78</v>
      </c>
      <c r="F395" s="297"/>
    </row>
    <row r="396" spans="1:6" ht="16.95" customHeight="1" x14ac:dyDescent="0.25">
      <c r="A396" s="329"/>
      <c r="B396" s="321"/>
      <c r="C396" s="330"/>
      <c r="D396" s="308" t="s">
        <v>17</v>
      </c>
      <c r="E396" s="280">
        <v>175945.04</v>
      </c>
      <c r="F396" s="297"/>
    </row>
    <row r="397" spans="1:6" ht="16.95" customHeight="1" x14ac:dyDescent="0.25">
      <c r="A397" s="329"/>
      <c r="B397" s="321"/>
      <c r="C397" s="330"/>
      <c r="D397" s="308" t="s">
        <v>18</v>
      </c>
      <c r="E397" s="316">
        <f>SUM(E395:E396)</f>
        <v>4527360.82</v>
      </c>
      <c r="F397" s="297"/>
    </row>
    <row r="398" spans="1:6" ht="16.95" customHeight="1" x14ac:dyDescent="0.25">
      <c r="A398" s="329">
        <v>118</v>
      </c>
      <c r="B398" s="321" t="s">
        <v>81</v>
      </c>
      <c r="C398" s="330">
        <v>212</v>
      </c>
      <c r="D398" s="308" t="s">
        <v>16</v>
      </c>
      <c r="E398" s="316">
        <v>4351415.78</v>
      </c>
      <c r="F398" s="297"/>
    </row>
    <row r="399" spans="1:6" ht="16.95" customHeight="1" x14ac:dyDescent="0.25">
      <c r="A399" s="329"/>
      <c r="B399" s="321"/>
      <c r="C399" s="330"/>
      <c r="D399" s="308" t="s">
        <v>17</v>
      </c>
      <c r="E399" s="280">
        <v>175945.04</v>
      </c>
      <c r="F399" s="297"/>
    </row>
    <row r="400" spans="1:6" ht="16.95" customHeight="1" x14ac:dyDescent="0.25">
      <c r="A400" s="329"/>
      <c r="B400" s="321"/>
      <c r="C400" s="330"/>
      <c r="D400" s="308" t="s">
        <v>18</v>
      </c>
      <c r="E400" s="316">
        <f>SUM(E398:E399)</f>
        <v>4527360.82</v>
      </c>
      <c r="F400" s="297"/>
    </row>
    <row r="401" spans="1:6" ht="16.95" customHeight="1" x14ac:dyDescent="0.25">
      <c r="A401" s="326">
        <v>119</v>
      </c>
      <c r="B401" s="333" t="s">
        <v>866</v>
      </c>
      <c r="C401" s="319" t="s">
        <v>15</v>
      </c>
      <c r="D401" s="308" t="s">
        <v>26</v>
      </c>
      <c r="E401" s="316">
        <v>3044590.83</v>
      </c>
      <c r="F401" s="317"/>
    </row>
    <row r="402" spans="1:6" ht="16.95" customHeight="1" x14ac:dyDescent="0.25">
      <c r="A402" s="327"/>
      <c r="B402" s="334"/>
      <c r="C402" s="322"/>
      <c r="D402" s="308" t="s">
        <v>32</v>
      </c>
      <c r="E402" s="316">
        <v>805361.2</v>
      </c>
      <c r="F402" s="297"/>
    </row>
    <row r="403" spans="1:6" ht="16.95" customHeight="1" x14ac:dyDescent="0.25">
      <c r="A403" s="328"/>
      <c r="B403" s="335"/>
      <c r="C403" s="320"/>
      <c r="D403" s="318" t="s">
        <v>18</v>
      </c>
      <c r="E403" s="316">
        <v>3849952.03</v>
      </c>
      <c r="F403" s="297"/>
    </row>
    <row r="404" spans="1:6" ht="16.95" customHeight="1" x14ac:dyDescent="0.25">
      <c r="A404" s="315">
        <v>1</v>
      </c>
      <c r="B404" s="314">
        <v>2</v>
      </c>
      <c r="C404" s="314">
        <v>3</v>
      </c>
      <c r="D404" s="315">
        <v>4</v>
      </c>
      <c r="E404" s="299">
        <v>5</v>
      </c>
      <c r="F404" s="297"/>
    </row>
    <row r="405" spans="1:6" ht="16.95" customHeight="1" x14ac:dyDescent="0.25">
      <c r="A405" s="329">
        <v>120</v>
      </c>
      <c r="B405" s="321" t="s">
        <v>91</v>
      </c>
      <c r="C405" s="330">
        <v>3</v>
      </c>
      <c r="D405" s="308" t="s">
        <v>24</v>
      </c>
      <c r="E405" s="316">
        <v>11199405.039999999</v>
      </c>
      <c r="F405" s="297"/>
    </row>
    <row r="406" spans="1:6" ht="16.95" customHeight="1" x14ac:dyDescent="0.25">
      <c r="A406" s="329"/>
      <c r="B406" s="321"/>
      <c r="C406" s="330"/>
      <c r="D406" s="308" t="s">
        <v>32</v>
      </c>
      <c r="E406" s="316">
        <v>559881.46</v>
      </c>
      <c r="F406" s="297"/>
    </row>
    <row r="407" spans="1:6" ht="16.95" customHeight="1" x14ac:dyDescent="0.25">
      <c r="A407" s="329"/>
      <c r="B407" s="321"/>
      <c r="C407" s="330"/>
      <c r="D407" s="308" t="s">
        <v>18</v>
      </c>
      <c r="E407" s="316">
        <v>11759286.5</v>
      </c>
      <c r="F407" s="297"/>
    </row>
    <row r="408" spans="1:6" ht="16.95" customHeight="1" x14ac:dyDescent="0.25">
      <c r="A408" s="326">
        <v>121</v>
      </c>
      <c r="B408" s="323" t="s">
        <v>89</v>
      </c>
      <c r="C408" s="319">
        <v>2</v>
      </c>
      <c r="D408" s="308" t="s">
        <v>16</v>
      </c>
      <c r="E408" s="316">
        <v>3702831.57</v>
      </c>
      <c r="F408" s="297"/>
    </row>
    <row r="409" spans="1:6" ht="16.95" customHeight="1" x14ac:dyDescent="0.25">
      <c r="A409" s="327"/>
      <c r="B409" s="324"/>
      <c r="C409" s="322"/>
      <c r="D409" s="308" t="s">
        <v>17</v>
      </c>
      <c r="E409" s="316">
        <v>151890.07999999999</v>
      </c>
      <c r="F409" s="297"/>
    </row>
    <row r="410" spans="1:6" ht="16.95" customHeight="1" x14ac:dyDescent="0.25">
      <c r="A410" s="328"/>
      <c r="B410" s="325"/>
      <c r="C410" s="320"/>
      <c r="D410" s="308" t="s">
        <v>18</v>
      </c>
      <c r="E410" s="316">
        <v>3854721.65</v>
      </c>
      <c r="F410" s="297"/>
    </row>
    <row r="411" spans="1:6" ht="16.95" customHeight="1" x14ac:dyDescent="0.25">
      <c r="A411" s="329">
        <v>122</v>
      </c>
      <c r="B411" s="321" t="s">
        <v>92</v>
      </c>
      <c r="C411" s="330">
        <v>1</v>
      </c>
      <c r="D411" s="308" t="s">
        <v>16</v>
      </c>
      <c r="E411" s="316">
        <v>3702831.57</v>
      </c>
      <c r="F411" s="297"/>
    </row>
    <row r="412" spans="1:6" ht="16.95" customHeight="1" x14ac:dyDescent="0.25">
      <c r="A412" s="329"/>
      <c r="B412" s="321"/>
      <c r="C412" s="330"/>
      <c r="D412" s="308" t="s">
        <v>17</v>
      </c>
      <c r="E412" s="316">
        <v>151890.07999999999</v>
      </c>
      <c r="F412" s="297"/>
    </row>
    <row r="413" spans="1:6" ht="16.95" customHeight="1" x14ac:dyDescent="0.25">
      <c r="A413" s="329"/>
      <c r="B413" s="321"/>
      <c r="C413" s="330"/>
      <c r="D413" s="308" t="s">
        <v>18</v>
      </c>
      <c r="E413" s="316">
        <v>3854721.65</v>
      </c>
      <c r="F413" s="297"/>
    </row>
    <row r="414" spans="1:6" ht="16.95" customHeight="1" x14ac:dyDescent="0.25">
      <c r="A414" s="329">
        <v>123</v>
      </c>
      <c r="B414" s="321" t="s">
        <v>92</v>
      </c>
      <c r="C414" s="330">
        <v>9</v>
      </c>
      <c r="D414" s="308" t="s">
        <v>16</v>
      </c>
      <c r="E414" s="316">
        <v>11108494.710000001</v>
      </c>
      <c r="F414" s="297"/>
    </row>
    <row r="415" spans="1:6" ht="16.95" customHeight="1" x14ac:dyDescent="0.25">
      <c r="A415" s="329"/>
      <c r="B415" s="321"/>
      <c r="C415" s="330"/>
      <c r="D415" s="308" t="s">
        <v>17</v>
      </c>
      <c r="E415" s="316">
        <v>455670.24</v>
      </c>
      <c r="F415" s="297"/>
    </row>
    <row r="416" spans="1:6" ht="16.95" customHeight="1" x14ac:dyDescent="0.25">
      <c r="A416" s="329"/>
      <c r="B416" s="321"/>
      <c r="C416" s="330"/>
      <c r="D416" s="308" t="s">
        <v>18</v>
      </c>
      <c r="E416" s="316">
        <v>11564164.949999999</v>
      </c>
      <c r="F416" s="297"/>
    </row>
    <row r="417" spans="1:6" ht="16.95" customHeight="1" x14ac:dyDescent="0.25">
      <c r="A417" s="329">
        <v>124</v>
      </c>
      <c r="B417" s="337" t="s">
        <v>867</v>
      </c>
      <c r="C417" s="330">
        <v>17</v>
      </c>
      <c r="D417" s="308" t="s">
        <v>59</v>
      </c>
      <c r="E417" s="316">
        <v>1215410.51</v>
      </c>
      <c r="F417" s="297"/>
    </row>
    <row r="418" spans="1:6" ht="16.95" customHeight="1" x14ac:dyDescent="0.25">
      <c r="A418" s="329"/>
      <c r="B418" s="321"/>
      <c r="C418" s="330"/>
      <c r="D418" s="308" t="s">
        <v>32</v>
      </c>
      <c r="E418" s="316">
        <v>224000</v>
      </c>
      <c r="F418" s="297"/>
    </row>
    <row r="419" spans="1:6" ht="16.95" customHeight="1" x14ac:dyDescent="0.25">
      <c r="A419" s="329"/>
      <c r="B419" s="321"/>
      <c r="C419" s="330"/>
      <c r="D419" s="308" t="s">
        <v>18</v>
      </c>
      <c r="E419" s="316">
        <v>1439410.51</v>
      </c>
      <c r="F419" s="297"/>
    </row>
    <row r="420" spans="1:6" ht="16.95" customHeight="1" x14ac:dyDescent="0.25">
      <c r="A420" s="326">
        <v>125</v>
      </c>
      <c r="B420" s="323" t="s">
        <v>94</v>
      </c>
      <c r="C420" s="319">
        <v>29</v>
      </c>
      <c r="D420" s="308" t="s">
        <v>26</v>
      </c>
      <c r="E420" s="316">
        <v>1473663.28</v>
      </c>
      <c r="F420" s="297"/>
    </row>
    <row r="421" spans="1:6" ht="16.95" customHeight="1" x14ac:dyDescent="0.25">
      <c r="A421" s="327"/>
      <c r="B421" s="324"/>
      <c r="C421" s="322"/>
      <c r="D421" s="308" t="s">
        <v>27</v>
      </c>
      <c r="E421" s="316">
        <v>2084052.81</v>
      </c>
      <c r="F421" s="297"/>
    </row>
    <row r="422" spans="1:6" ht="16.95" customHeight="1" x14ac:dyDescent="0.25">
      <c r="A422" s="327"/>
      <c r="B422" s="324"/>
      <c r="C422" s="322"/>
      <c r="D422" s="308" t="s">
        <v>28</v>
      </c>
      <c r="E422" s="316">
        <v>1426147.35</v>
      </c>
      <c r="F422" s="297"/>
    </row>
    <row r="423" spans="1:6" ht="16.95" customHeight="1" x14ac:dyDescent="0.25">
      <c r="A423" s="327"/>
      <c r="B423" s="324"/>
      <c r="C423" s="322"/>
      <c r="D423" s="308" t="s">
        <v>29</v>
      </c>
      <c r="E423" s="316">
        <v>1410603.64</v>
      </c>
      <c r="F423" s="297"/>
    </row>
    <row r="424" spans="1:6" ht="16.95" customHeight="1" x14ac:dyDescent="0.25">
      <c r="A424" s="327"/>
      <c r="B424" s="324"/>
      <c r="C424" s="322"/>
      <c r="D424" s="308" t="s">
        <v>30</v>
      </c>
      <c r="E424" s="316">
        <v>2570092.67</v>
      </c>
      <c r="F424" s="297"/>
    </row>
    <row r="425" spans="1:6" ht="16.95" customHeight="1" x14ac:dyDescent="0.25">
      <c r="A425" s="327"/>
      <c r="B425" s="324"/>
      <c r="C425" s="322"/>
      <c r="D425" s="308" t="s">
        <v>32</v>
      </c>
      <c r="E425" s="316">
        <v>557819.36</v>
      </c>
      <c r="F425" s="297"/>
    </row>
    <row r="426" spans="1:6" ht="16.95" customHeight="1" x14ac:dyDescent="0.25">
      <c r="A426" s="328"/>
      <c r="B426" s="325"/>
      <c r="C426" s="320"/>
      <c r="D426" s="308" t="s">
        <v>18</v>
      </c>
      <c r="E426" s="316">
        <v>9522379.1099999994</v>
      </c>
      <c r="F426" s="297"/>
    </row>
    <row r="427" spans="1:6" ht="16.95" customHeight="1" x14ac:dyDescent="0.25">
      <c r="A427" s="328">
        <v>126</v>
      </c>
      <c r="B427" s="321" t="s">
        <v>94</v>
      </c>
      <c r="C427" s="330">
        <v>53</v>
      </c>
      <c r="D427" s="308" t="s">
        <v>24</v>
      </c>
      <c r="E427" s="316">
        <v>23458150.710000001</v>
      </c>
      <c r="F427" s="297"/>
    </row>
    <row r="428" spans="1:6" ht="16.95" customHeight="1" x14ac:dyDescent="0.25">
      <c r="A428" s="328"/>
      <c r="B428" s="321"/>
      <c r="C428" s="330"/>
      <c r="D428" s="308" t="s">
        <v>32</v>
      </c>
      <c r="E428" s="316">
        <v>1617803.5</v>
      </c>
      <c r="F428" s="297"/>
    </row>
    <row r="429" spans="1:6" ht="16.95" customHeight="1" x14ac:dyDescent="0.25">
      <c r="A429" s="328"/>
      <c r="B429" s="321"/>
      <c r="C429" s="330"/>
      <c r="D429" s="308" t="s">
        <v>18</v>
      </c>
      <c r="E429" s="316">
        <f>SUM(E427:E428)</f>
        <v>25075954.210000001</v>
      </c>
      <c r="F429" s="297"/>
    </row>
    <row r="430" spans="1:6" ht="16.95" customHeight="1" x14ac:dyDescent="0.25">
      <c r="A430" s="329">
        <v>127</v>
      </c>
      <c r="B430" s="321" t="s">
        <v>94</v>
      </c>
      <c r="C430" s="330">
        <v>60</v>
      </c>
      <c r="D430" s="308" t="s">
        <v>24</v>
      </c>
      <c r="E430" s="316">
        <v>11110400.130000001</v>
      </c>
      <c r="F430" s="297"/>
    </row>
    <row r="431" spans="1:6" ht="16.95" customHeight="1" x14ac:dyDescent="0.25">
      <c r="A431" s="329"/>
      <c r="B431" s="321"/>
      <c r="C431" s="330"/>
      <c r="D431" s="308" t="s">
        <v>32</v>
      </c>
      <c r="E431" s="316">
        <v>766234.49</v>
      </c>
      <c r="F431" s="297"/>
    </row>
    <row r="432" spans="1:6" ht="16.95" customHeight="1" x14ac:dyDescent="0.25">
      <c r="A432" s="329"/>
      <c r="B432" s="321"/>
      <c r="C432" s="330"/>
      <c r="D432" s="308" t="s">
        <v>18</v>
      </c>
      <c r="E432" s="316">
        <f>SUM(E430:E431)</f>
        <v>11876634.620000001</v>
      </c>
      <c r="F432" s="297"/>
    </row>
    <row r="433" spans="1:6" ht="16.95" customHeight="1" x14ac:dyDescent="0.25">
      <c r="A433" s="315">
        <v>1</v>
      </c>
      <c r="B433" s="314">
        <v>2</v>
      </c>
      <c r="C433" s="314">
        <v>3</v>
      </c>
      <c r="D433" s="315">
        <v>4</v>
      </c>
      <c r="E433" s="299">
        <v>5</v>
      </c>
      <c r="F433" s="297"/>
    </row>
    <row r="434" spans="1:6" ht="16.95" customHeight="1" x14ac:dyDescent="0.25">
      <c r="A434" s="328">
        <v>128</v>
      </c>
      <c r="B434" s="321" t="s">
        <v>94</v>
      </c>
      <c r="C434" s="330">
        <v>61</v>
      </c>
      <c r="D434" s="308" t="s">
        <v>24</v>
      </c>
      <c r="E434" s="316">
        <v>28460421.690000001</v>
      </c>
      <c r="F434" s="297"/>
    </row>
    <row r="435" spans="1:6" ht="16.95" customHeight="1" x14ac:dyDescent="0.25">
      <c r="A435" s="328"/>
      <c r="B435" s="321"/>
      <c r="C435" s="330"/>
      <c r="D435" s="308" t="s">
        <v>32</v>
      </c>
      <c r="E435" s="316">
        <v>1962787.7</v>
      </c>
      <c r="F435" s="297"/>
    </row>
    <row r="436" spans="1:6" ht="16.95" customHeight="1" x14ac:dyDescent="0.25">
      <c r="A436" s="328"/>
      <c r="B436" s="321"/>
      <c r="C436" s="330"/>
      <c r="D436" s="308" t="s">
        <v>18</v>
      </c>
      <c r="E436" s="316">
        <f>SUM(E434:E435)</f>
        <v>30423209.390000001</v>
      </c>
      <c r="F436" s="297"/>
    </row>
    <row r="437" spans="1:6" ht="16.95" customHeight="1" x14ac:dyDescent="0.25">
      <c r="A437" s="328">
        <v>129</v>
      </c>
      <c r="B437" s="321" t="s">
        <v>94</v>
      </c>
      <c r="C437" s="330" t="s">
        <v>95</v>
      </c>
      <c r="D437" s="308" t="s">
        <v>24</v>
      </c>
      <c r="E437" s="316">
        <v>22098424.039999999</v>
      </c>
      <c r="F437" s="297"/>
    </row>
    <row r="438" spans="1:6" ht="16.95" customHeight="1" x14ac:dyDescent="0.25">
      <c r="A438" s="328"/>
      <c r="B438" s="321"/>
      <c r="C438" s="330"/>
      <c r="D438" s="308" t="s">
        <v>31</v>
      </c>
      <c r="E438" s="316">
        <v>20368987.829999998</v>
      </c>
      <c r="F438" s="297"/>
    </row>
    <row r="439" spans="1:6" ht="16.95" customHeight="1" x14ac:dyDescent="0.25">
      <c r="A439" s="328"/>
      <c r="B439" s="321"/>
      <c r="C439" s="330"/>
      <c r="D439" s="308" t="s">
        <v>32</v>
      </c>
      <c r="E439" s="316">
        <v>2928787.03</v>
      </c>
      <c r="F439" s="297"/>
    </row>
    <row r="440" spans="1:6" ht="16.95" customHeight="1" x14ac:dyDescent="0.25">
      <c r="A440" s="328"/>
      <c r="B440" s="321"/>
      <c r="C440" s="330"/>
      <c r="D440" s="308" t="s">
        <v>18</v>
      </c>
      <c r="E440" s="316">
        <f>SUM(E437:E439)</f>
        <v>45396198.899999999</v>
      </c>
      <c r="F440" s="297"/>
    </row>
    <row r="441" spans="1:6" ht="16.95" customHeight="1" x14ac:dyDescent="0.25">
      <c r="A441" s="328">
        <v>130</v>
      </c>
      <c r="B441" s="321" t="s">
        <v>94</v>
      </c>
      <c r="C441" s="330">
        <v>63</v>
      </c>
      <c r="D441" s="308" t="s">
        <v>24</v>
      </c>
      <c r="E441" s="316">
        <v>30438751.719999999</v>
      </c>
      <c r="F441" s="297"/>
    </row>
    <row r="442" spans="1:6" ht="16.95" customHeight="1" x14ac:dyDescent="0.25">
      <c r="A442" s="328"/>
      <c r="B442" s="321"/>
      <c r="C442" s="330"/>
      <c r="D442" s="308" t="s">
        <v>31</v>
      </c>
      <c r="E442" s="316">
        <v>54179907.479999997</v>
      </c>
      <c r="F442" s="297"/>
    </row>
    <row r="443" spans="1:6" ht="16.95" customHeight="1" x14ac:dyDescent="0.25">
      <c r="A443" s="328"/>
      <c r="B443" s="321"/>
      <c r="C443" s="330"/>
      <c r="D443" s="308" t="s">
        <v>32</v>
      </c>
      <c r="E443" s="316">
        <v>5835769.5999999996</v>
      </c>
      <c r="F443" s="297"/>
    </row>
    <row r="444" spans="1:6" ht="16.95" customHeight="1" x14ac:dyDescent="0.25">
      <c r="A444" s="328"/>
      <c r="B444" s="321"/>
      <c r="C444" s="330"/>
      <c r="D444" s="308" t="s">
        <v>18</v>
      </c>
      <c r="E444" s="316">
        <f>SUM(E441:E443)</f>
        <v>90454428.799999982</v>
      </c>
      <c r="F444" s="297"/>
    </row>
    <row r="445" spans="1:6" ht="16.95" customHeight="1" x14ac:dyDescent="0.25">
      <c r="A445" s="328">
        <v>131</v>
      </c>
      <c r="B445" s="321" t="s">
        <v>94</v>
      </c>
      <c r="C445" s="330">
        <v>65</v>
      </c>
      <c r="D445" s="308" t="s">
        <v>24</v>
      </c>
      <c r="E445" s="316">
        <v>40927606.289999999</v>
      </c>
      <c r="F445" s="297"/>
    </row>
    <row r="446" spans="1:6" ht="16.95" customHeight="1" x14ac:dyDescent="0.25">
      <c r="A446" s="328"/>
      <c r="B446" s="321"/>
      <c r="C446" s="330"/>
      <c r="D446" s="308" t="s">
        <v>32</v>
      </c>
      <c r="E446" s="316">
        <v>2822593.54</v>
      </c>
      <c r="F446" s="297"/>
    </row>
    <row r="447" spans="1:6" ht="16.95" customHeight="1" x14ac:dyDescent="0.25">
      <c r="A447" s="328"/>
      <c r="B447" s="321"/>
      <c r="C447" s="330"/>
      <c r="D447" s="308" t="s">
        <v>18</v>
      </c>
      <c r="E447" s="316">
        <f>SUM(E445:E446)</f>
        <v>43750199.829999998</v>
      </c>
      <c r="F447" s="297"/>
    </row>
    <row r="448" spans="1:6" ht="16.95" customHeight="1" x14ac:dyDescent="0.25">
      <c r="A448" s="328">
        <v>132</v>
      </c>
      <c r="B448" s="321" t="s">
        <v>94</v>
      </c>
      <c r="C448" s="330">
        <v>67</v>
      </c>
      <c r="D448" s="308" t="s">
        <v>24</v>
      </c>
      <c r="E448" s="316">
        <v>28805117.300000001</v>
      </c>
      <c r="F448" s="297"/>
    </row>
    <row r="449" spans="1:6" ht="16.95" customHeight="1" x14ac:dyDescent="0.25">
      <c r="A449" s="328"/>
      <c r="B449" s="321"/>
      <c r="C449" s="330"/>
      <c r="D449" s="308" t="s">
        <v>31</v>
      </c>
      <c r="E449" s="316">
        <v>54587705.189999998</v>
      </c>
      <c r="F449" s="297"/>
    </row>
    <row r="450" spans="1:6" ht="16.95" customHeight="1" x14ac:dyDescent="0.25">
      <c r="A450" s="328"/>
      <c r="B450" s="321"/>
      <c r="C450" s="330"/>
      <c r="D450" s="308" t="s">
        <v>32</v>
      </c>
      <c r="E450" s="316">
        <v>1986559.81</v>
      </c>
      <c r="F450" s="297"/>
    </row>
    <row r="451" spans="1:6" ht="16.95" customHeight="1" x14ac:dyDescent="0.25">
      <c r="A451" s="328"/>
      <c r="B451" s="321"/>
      <c r="C451" s="330"/>
      <c r="D451" s="308" t="s">
        <v>18</v>
      </c>
      <c r="E451" s="316">
        <f>SUM(E448:E450)</f>
        <v>85379382.299999997</v>
      </c>
      <c r="F451" s="297"/>
    </row>
    <row r="452" spans="1:6" ht="16.95" customHeight="1" x14ac:dyDescent="0.25">
      <c r="A452" s="328">
        <v>133</v>
      </c>
      <c r="B452" s="321" t="s">
        <v>94</v>
      </c>
      <c r="C452" s="330">
        <v>74</v>
      </c>
      <c r="D452" s="308" t="s">
        <v>24</v>
      </c>
      <c r="E452" s="316">
        <v>17676758.920000002</v>
      </c>
      <c r="F452" s="297"/>
    </row>
    <row r="453" spans="1:6" ht="16.95" customHeight="1" x14ac:dyDescent="0.25">
      <c r="A453" s="328"/>
      <c r="B453" s="321"/>
      <c r="C453" s="330"/>
      <c r="D453" s="308" t="s">
        <v>31</v>
      </c>
      <c r="E453" s="316">
        <v>31464009.16</v>
      </c>
      <c r="F453" s="297"/>
    </row>
    <row r="454" spans="1:6" ht="16.95" customHeight="1" x14ac:dyDescent="0.25">
      <c r="A454" s="328"/>
      <c r="B454" s="321"/>
      <c r="C454" s="330"/>
      <c r="D454" s="308" t="s">
        <v>18</v>
      </c>
      <c r="E454" s="316">
        <f>SUM(E452:E453)</f>
        <v>49140768.079999998</v>
      </c>
      <c r="F454" s="297"/>
    </row>
    <row r="455" spans="1:6" ht="16.95" customHeight="1" x14ac:dyDescent="0.25">
      <c r="A455" s="328">
        <v>134</v>
      </c>
      <c r="B455" s="321" t="s">
        <v>94</v>
      </c>
      <c r="C455" s="330">
        <v>76</v>
      </c>
      <c r="D455" s="308" t="s">
        <v>31</v>
      </c>
      <c r="E455" s="316">
        <v>36621767.93</v>
      </c>
      <c r="F455" s="297"/>
    </row>
    <row r="456" spans="1:6" ht="16.95" customHeight="1" x14ac:dyDescent="0.25">
      <c r="A456" s="328"/>
      <c r="B456" s="321"/>
      <c r="C456" s="330"/>
      <c r="D456" s="308" t="s">
        <v>18</v>
      </c>
      <c r="E456" s="316">
        <f>E455</f>
        <v>36621767.93</v>
      </c>
      <c r="F456" s="297"/>
    </row>
    <row r="457" spans="1:6" ht="16.95" customHeight="1" x14ac:dyDescent="0.25">
      <c r="A457" s="328">
        <v>135</v>
      </c>
      <c r="B457" s="321" t="s">
        <v>94</v>
      </c>
      <c r="C457" s="330">
        <v>77</v>
      </c>
      <c r="D457" s="308" t="s">
        <v>31</v>
      </c>
      <c r="E457" s="316">
        <v>27135753.600000001</v>
      </c>
      <c r="F457" s="297"/>
    </row>
    <row r="458" spans="1:6" ht="16.95" customHeight="1" x14ac:dyDescent="0.25">
      <c r="A458" s="328"/>
      <c r="B458" s="321"/>
      <c r="C458" s="330"/>
      <c r="D458" s="308" t="s">
        <v>32</v>
      </c>
      <c r="E458" s="316">
        <v>1871431.28</v>
      </c>
      <c r="F458" s="297"/>
    </row>
    <row r="459" spans="1:6" ht="16.95" customHeight="1" x14ac:dyDescent="0.25">
      <c r="A459" s="328"/>
      <c r="B459" s="321"/>
      <c r="C459" s="330"/>
      <c r="D459" s="308" t="s">
        <v>18</v>
      </c>
      <c r="E459" s="316">
        <f>SUM(E457:E458)</f>
        <v>29007184.880000003</v>
      </c>
      <c r="F459" s="297"/>
    </row>
    <row r="460" spans="1:6" ht="16.95" customHeight="1" x14ac:dyDescent="0.25">
      <c r="A460" s="329">
        <v>136</v>
      </c>
      <c r="B460" s="321" t="s">
        <v>94</v>
      </c>
      <c r="C460" s="330">
        <v>80</v>
      </c>
      <c r="D460" s="308" t="s">
        <v>24</v>
      </c>
      <c r="E460" s="316">
        <v>29722288.239999998</v>
      </c>
      <c r="F460" s="297"/>
    </row>
    <row r="461" spans="1:6" ht="16.95" customHeight="1" x14ac:dyDescent="0.25">
      <c r="A461" s="329"/>
      <c r="B461" s="321"/>
      <c r="C461" s="330"/>
      <c r="D461" s="308" t="s">
        <v>96</v>
      </c>
      <c r="E461" s="316">
        <v>2224781.42</v>
      </c>
      <c r="F461" s="297"/>
    </row>
    <row r="462" spans="1:6" ht="16.95" customHeight="1" x14ac:dyDescent="0.25">
      <c r="A462" s="315">
        <v>1</v>
      </c>
      <c r="B462" s="314">
        <v>2</v>
      </c>
      <c r="C462" s="314">
        <v>3</v>
      </c>
      <c r="D462" s="315">
        <v>4</v>
      </c>
      <c r="E462" s="299">
        <v>5</v>
      </c>
      <c r="F462" s="297"/>
    </row>
    <row r="463" spans="1:6" ht="16.95" customHeight="1" x14ac:dyDescent="0.25">
      <c r="A463" s="327"/>
      <c r="B463" s="322"/>
      <c r="C463" s="322"/>
      <c r="D463" s="308" t="s">
        <v>31</v>
      </c>
      <c r="E463" s="316">
        <v>54101026.630000003</v>
      </c>
      <c r="F463" s="297"/>
    </row>
    <row r="464" spans="1:6" ht="16.95" customHeight="1" x14ac:dyDescent="0.25">
      <c r="A464" s="328"/>
      <c r="B464" s="320"/>
      <c r="C464" s="320"/>
      <c r="D464" s="308" t="s">
        <v>18</v>
      </c>
      <c r="E464" s="316">
        <f>SUM(E460:E463)</f>
        <v>86048101.289999992</v>
      </c>
      <c r="F464" s="297"/>
    </row>
    <row r="465" spans="1:6" ht="16.95" customHeight="1" x14ac:dyDescent="0.25">
      <c r="A465" s="329">
        <v>137</v>
      </c>
      <c r="B465" s="321" t="s">
        <v>97</v>
      </c>
      <c r="C465" s="330">
        <v>1</v>
      </c>
      <c r="D465" s="308" t="s">
        <v>22</v>
      </c>
      <c r="E465" s="282">
        <v>4754302.4800000004</v>
      </c>
      <c r="F465" s="297"/>
    </row>
    <row r="466" spans="1:6" ht="16.95" customHeight="1" x14ac:dyDescent="0.25">
      <c r="A466" s="329"/>
      <c r="B466" s="321"/>
      <c r="C466" s="330"/>
      <c r="D466" s="308" t="s">
        <v>17</v>
      </c>
      <c r="E466" s="282">
        <v>248000</v>
      </c>
      <c r="F466" s="297"/>
    </row>
    <row r="467" spans="1:6" ht="16.95" customHeight="1" x14ac:dyDescent="0.25">
      <c r="A467" s="329"/>
      <c r="B467" s="321"/>
      <c r="C467" s="330"/>
      <c r="D467" s="308" t="s">
        <v>18</v>
      </c>
      <c r="E467" s="282">
        <v>5002302.4800000004</v>
      </c>
      <c r="F467" s="297"/>
    </row>
    <row r="468" spans="1:6" ht="16.95" customHeight="1" x14ac:dyDescent="0.25">
      <c r="A468" s="329">
        <v>138</v>
      </c>
      <c r="B468" s="321" t="s">
        <v>97</v>
      </c>
      <c r="C468" s="330">
        <v>3</v>
      </c>
      <c r="D468" s="308" t="s">
        <v>22</v>
      </c>
      <c r="E468" s="282">
        <v>4754302.4800000004</v>
      </c>
      <c r="F468" s="297"/>
    </row>
    <row r="469" spans="1:6" ht="16.95" customHeight="1" x14ac:dyDescent="0.25">
      <c r="A469" s="329"/>
      <c r="B469" s="321"/>
      <c r="C469" s="330"/>
      <c r="D469" s="308" t="s">
        <v>17</v>
      </c>
      <c r="E469" s="282">
        <v>248000</v>
      </c>
      <c r="F469" s="297"/>
    </row>
    <row r="470" spans="1:6" ht="16.95" customHeight="1" x14ac:dyDescent="0.25">
      <c r="A470" s="329"/>
      <c r="B470" s="321"/>
      <c r="C470" s="330"/>
      <c r="D470" s="308" t="s">
        <v>18</v>
      </c>
      <c r="E470" s="282">
        <v>5002302.4800000004</v>
      </c>
      <c r="F470" s="297"/>
    </row>
    <row r="471" spans="1:6" ht="16.95" customHeight="1" x14ac:dyDescent="0.25">
      <c r="A471" s="329">
        <v>139</v>
      </c>
      <c r="B471" s="321" t="s">
        <v>97</v>
      </c>
      <c r="C471" s="330">
        <v>21</v>
      </c>
      <c r="D471" s="308" t="s">
        <v>22</v>
      </c>
      <c r="E471" s="282">
        <v>2377151.2400000002</v>
      </c>
      <c r="F471" s="297"/>
    </row>
    <row r="472" spans="1:6" ht="16.95" customHeight="1" x14ac:dyDescent="0.25">
      <c r="A472" s="329"/>
      <c r="B472" s="321"/>
      <c r="C472" s="330"/>
      <c r="D472" s="308" t="s">
        <v>17</v>
      </c>
      <c r="E472" s="282">
        <v>124000</v>
      </c>
      <c r="F472" s="297"/>
    </row>
    <row r="473" spans="1:6" ht="16.95" customHeight="1" x14ac:dyDescent="0.25">
      <c r="A473" s="329"/>
      <c r="B473" s="321"/>
      <c r="C473" s="330"/>
      <c r="D473" s="308" t="s">
        <v>18</v>
      </c>
      <c r="E473" s="282">
        <v>2501151.2400000002</v>
      </c>
      <c r="F473" s="297"/>
    </row>
    <row r="474" spans="1:6" ht="16.95" customHeight="1" x14ac:dyDescent="0.25">
      <c r="A474" s="329">
        <v>140</v>
      </c>
      <c r="B474" s="323" t="s">
        <v>98</v>
      </c>
      <c r="C474" s="319">
        <v>14</v>
      </c>
      <c r="D474" s="308" t="s">
        <v>16</v>
      </c>
      <c r="E474" s="316">
        <v>3702831.57</v>
      </c>
      <c r="F474" s="297"/>
    </row>
    <row r="475" spans="1:6" ht="16.95" customHeight="1" x14ac:dyDescent="0.25">
      <c r="A475" s="329"/>
      <c r="B475" s="324"/>
      <c r="C475" s="322"/>
      <c r="D475" s="308" t="s">
        <v>17</v>
      </c>
      <c r="E475" s="316">
        <v>151890.07999999999</v>
      </c>
      <c r="F475" s="297"/>
    </row>
    <row r="476" spans="1:6" ht="16.95" customHeight="1" x14ac:dyDescent="0.25">
      <c r="A476" s="329"/>
      <c r="B476" s="325"/>
      <c r="C476" s="320"/>
      <c r="D476" s="308" t="s">
        <v>18</v>
      </c>
      <c r="E476" s="316">
        <v>3854721.65</v>
      </c>
      <c r="F476" s="297"/>
    </row>
    <row r="477" spans="1:6" ht="16.95" customHeight="1" x14ac:dyDescent="0.25">
      <c r="A477" s="329">
        <v>141</v>
      </c>
      <c r="B477" s="323" t="s">
        <v>98</v>
      </c>
      <c r="C477" s="319">
        <v>15</v>
      </c>
      <c r="D477" s="308" t="s">
        <v>16</v>
      </c>
      <c r="E477" s="316">
        <v>3702831.57</v>
      </c>
      <c r="F477" s="297"/>
    </row>
    <row r="478" spans="1:6" ht="16.95" customHeight="1" x14ac:dyDescent="0.25">
      <c r="A478" s="329"/>
      <c r="B478" s="324"/>
      <c r="C478" s="322"/>
      <c r="D478" s="308" t="s">
        <v>17</v>
      </c>
      <c r="E478" s="316">
        <v>151890.07999999999</v>
      </c>
      <c r="F478" s="297"/>
    </row>
    <row r="479" spans="1:6" ht="16.95" customHeight="1" x14ac:dyDescent="0.25">
      <c r="A479" s="329"/>
      <c r="B479" s="325"/>
      <c r="C479" s="320"/>
      <c r="D479" s="308" t="s">
        <v>18</v>
      </c>
      <c r="E479" s="316">
        <v>3854721.65</v>
      </c>
      <c r="F479" s="297"/>
    </row>
    <row r="480" spans="1:6" ht="16.95" customHeight="1" x14ac:dyDescent="0.25">
      <c r="A480" s="329">
        <v>142</v>
      </c>
      <c r="B480" s="323" t="s">
        <v>98</v>
      </c>
      <c r="C480" s="319">
        <v>16</v>
      </c>
      <c r="D480" s="308" t="s">
        <v>16</v>
      </c>
      <c r="E480" s="316">
        <v>3702831.57</v>
      </c>
      <c r="F480" s="297"/>
    </row>
    <row r="481" spans="1:6" ht="16.95" customHeight="1" x14ac:dyDescent="0.25">
      <c r="A481" s="329"/>
      <c r="B481" s="324"/>
      <c r="C481" s="322"/>
      <c r="D481" s="308" t="s">
        <v>17</v>
      </c>
      <c r="E481" s="316">
        <v>151890.07999999999</v>
      </c>
      <c r="F481" s="297"/>
    </row>
    <row r="482" spans="1:6" ht="16.95" customHeight="1" x14ac:dyDescent="0.25">
      <c r="A482" s="329"/>
      <c r="B482" s="325"/>
      <c r="C482" s="320"/>
      <c r="D482" s="308" t="s">
        <v>18</v>
      </c>
      <c r="E482" s="316">
        <v>3854721.65</v>
      </c>
      <c r="F482" s="297"/>
    </row>
    <row r="483" spans="1:6" ht="16.95" customHeight="1" x14ac:dyDescent="0.25">
      <c r="A483" s="329">
        <v>143</v>
      </c>
      <c r="B483" s="321" t="s">
        <v>99</v>
      </c>
      <c r="C483" s="330">
        <v>9</v>
      </c>
      <c r="D483" s="308" t="s">
        <v>24</v>
      </c>
      <c r="E483" s="316">
        <v>8644232.1899999995</v>
      </c>
      <c r="F483" s="297"/>
    </row>
    <row r="484" spans="1:6" ht="16.95" customHeight="1" x14ac:dyDescent="0.25">
      <c r="A484" s="329"/>
      <c r="B484" s="321"/>
      <c r="C484" s="330"/>
      <c r="D484" s="308" t="s">
        <v>32</v>
      </c>
      <c r="E484" s="316">
        <v>506206.99</v>
      </c>
      <c r="F484" s="297"/>
    </row>
    <row r="485" spans="1:6" ht="16.95" customHeight="1" x14ac:dyDescent="0.25">
      <c r="A485" s="329"/>
      <c r="B485" s="321"/>
      <c r="C485" s="330"/>
      <c r="D485" s="308" t="s">
        <v>18</v>
      </c>
      <c r="E485" s="316">
        <v>9150439.1799999997</v>
      </c>
      <c r="F485" s="297"/>
    </row>
    <row r="486" spans="1:6" ht="16.95" customHeight="1" x14ac:dyDescent="0.25">
      <c r="A486" s="329">
        <v>144</v>
      </c>
      <c r="B486" s="321" t="s">
        <v>99</v>
      </c>
      <c r="C486" s="330">
        <v>22</v>
      </c>
      <c r="D486" s="308" t="s">
        <v>26</v>
      </c>
      <c r="E486" s="316">
        <v>581959.39</v>
      </c>
      <c r="F486" s="297"/>
    </row>
    <row r="487" spans="1:6" ht="16.95" customHeight="1" x14ac:dyDescent="0.25">
      <c r="A487" s="329"/>
      <c r="B487" s="321"/>
      <c r="C487" s="330"/>
      <c r="D487" s="308" t="s">
        <v>27</v>
      </c>
      <c r="E487" s="316">
        <v>2770315.54</v>
      </c>
      <c r="F487" s="297"/>
    </row>
    <row r="488" spans="1:6" ht="16.95" customHeight="1" x14ac:dyDescent="0.25">
      <c r="A488" s="329"/>
      <c r="B488" s="321"/>
      <c r="C488" s="330"/>
      <c r="D488" s="308" t="s">
        <v>28</v>
      </c>
      <c r="E488" s="316">
        <v>565282.06000000006</v>
      </c>
      <c r="F488" s="297"/>
    </row>
    <row r="489" spans="1:6" ht="16.95" customHeight="1" x14ac:dyDescent="0.25">
      <c r="A489" s="329"/>
      <c r="B489" s="321"/>
      <c r="C489" s="330"/>
      <c r="D489" s="308" t="s">
        <v>29</v>
      </c>
      <c r="E489" s="316">
        <v>622651.68999999994</v>
      </c>
      <c r="F489" s="297"/>
    </row>
    <row r="490" spans="1:6" ht="16.95" customHeight="1" x14ac:dyDescent="0.25">
      <c r="A490" s="329"/>
      <c r="B490" s="321"/>
      <c r="C490" s="330"/>
      <c r="D490" s="308" t="s">
        <v>30</v>
      </c>
      <c r="E490" s="316">
        <v>959257.94</v>
      </c>
      <c r="F490" s="297"/>
    </row>
    <row r="491" spans="1:6" ht="16.95" customHeight="1" x14ac:dyDescent="0.25">
      <c r="A491" s="315">
        <v>1</v>
      </c>
      <c r="B491" s="314">
        <v>2</v>
      </c>
      <c r="C491" s="314">
        <v>3</v>
      </c>
      <c r="D491" s="315">
        <v>4</v>
      </c>
      <c r="E491" s="299">
        <v>5</v>
      </c>
      <c r="F491" s="297"/>
    </row>
    <row r="492" spans="1:6" ht="16.95" customHeight="1" x14ac:dyDescent="0.25">
      <c r="A492" s="327"/>
      <c r="B492" s="322"/>
      <c r="C492" s="322"/>
      <c r="D492" s="308" t="s">
        <v>24</v>
      </c>
      <c r="E492" s="316">
        <v>8164250.3700000001</v>
      </c>
      <c r="F492" s="297"/>
    </row>
    <row r="493" spans="1:6" ht="16.95" customHeight="1" x14ac:dyDescent="0.25">
      <c r="A493" s="327"/>
      <c r="B493" s="322"/>
      <c r="C493" s="322"/>
      <c r="D493" s="308" t="s">
        <v>32</v>
      </c>
      <c r="E493" s="316">
        <v>1373652.8</v>
      </c>
      <c r="F493" s="297"/>
    </row>
    <row r="494" spans="1:6" ht="16.95" customHeight="1" x14ac:dyDescent="0.25">
      <c r="A494" s="328"/>
      <c r="B494" s="320"/>
      <c r="C494" s="320"/>
      <c r="D494" s="308" t="s">
        <v>18</v>
      </c>
      <c r="E494" s="316">
        <v>15037369.789999999</v>
      </c>
      <c r="F494" s="297"/>
    </row>
    <row r="495" spans="1:6" ht="16.95" customHeight="1" x14ac:dyDescent="0.25">
      <c r="A495" s="329">
        <v>145</v>
      </c>
      <c r="B495" s="321" t="s">
        <v>99</v>
      </c>
      <c r="C495" s="330">
        <v>26</v>
      </c>
      <c r="D495" s="308" t="s">
        <v>24</v>
      </c>
      <c r="E495" s="316">
        <v>7204815.2199999997</v>
      </c>
      <c r="F495" s="297"/>
    </row>
    <row r="496" spans="1:6" ht="16.95" customHeight="1" x14ac:dyDescent="0.25">
      <c r="A496" s="329"/>
      <c r="B496" s="321"/>
      <c r="C496" s="330"/>
      <c r="D496" s="308" t="s">
        <v>32</v>
      </c>
      <c r="E496" s="316">
        <v>368408.7</v>
      </c>
      <c r="F496" s="297"/>
    </row>
    <row r="497" spans="1:6" ht="16.95" customHeight="1" x14ac:dyDescent="0.25">
      <c r="A497" s="329"/>
      <c r="B497" s="321"/>
      <c r="C497" s="330"/>
      <c r="D497" s="308" t="s">
        <v>18</v>
      </c>
      <c r="E497" s="316">
        <v>7573223.9199999999</v>
      </c>
      <c r="F497" s="297"/>
    </row>
    <row r="498" spans="1:6" ht="16.95" customHeight="1" x14ac:dyDescent="0.25">
      <c r="A498" s="329">
        <v>146</v>
      </c>
      <c r="B498" s="321" t="s">
        <v>99</v>
      </c>
      <c r="C498" s="330">
        <v>32</v>
      </c>
      <c r="D498" s="308" t="s">
        <v>24</v>
      </c>
      <c r="E498" s="316">
        <v>3263881.88</v>
      </c>
      <c r="F498" s="297"/>
    </row>
    <row r="499" spans="1:6" ht="16.95" customHeight="1" x14ac:dyDescent="0.25">
      <c r="A499" s="329"/>
      <c r="B499" s="321"/>
      <c r="C499" s="330"/>
      <c r="D499" s="308" t="s">
        <v>32</v>
      </c>
      <c r="E499" s="316">
        <v>192938.83</v>
      </c>
      <c r="F499" s="297"/>
    </row>
    <row r="500" spans="1:6" ht="16.95" customHeight="1" x14ac:dyDescent="0.25">
      <c r="A500" s="329"/>
      <c r="B500" s="321"/>
      <c r="C500" s="330"/>
      <c r="D500" s="308" t="s">
        <v>18</v>
      </c>
      <c r="E500" s="316">
        <v>3456820.71</v>
      </c>
      <c r="F500" s="297"/>
    </row>
    <row r="501" spans="1:6" ht="16.95" customHeight="1" x14ac:dyDescent="0.25">
      <c r="A501" s="329">
        <v>147</v>
      </c>
      <c r="B501" s="321" t="s">
        <v>99</v>
      </c>
      <c r="C501" s="330">
        <v>36</v>
      </c>
      <c r="D501" s="308" t="s">
        <v>24</v>
      </c>
      <c r="E501" s="316">
        <v>9684612.0199999996</v>
      </c>
      <c r="F501" s="297"/>
    </row>
    <row r="502" spans="1:6" ht="16.95" customHeight="1" x14ac:dyDescent="0.25">
      <c r="A502" s="329"/>
      <c r="B502" s="321"/>
      <c r="C502" s="330"/>
      <c r="D502" s="308" t="s">
        <v>32</v>
      </c>
      <c r="E502" s="316">
        <v>503531.44</v>
      </c>
      <c r="F502" s="297"/>
    </row>
    <row r="503" spans="1:6" ht="16.95" customHeight="1" x14ac:dyDescent="0.25">
      <c r="A503" s="329"/>
      <c r="B503" s="321"/>
      <c r="C503" s="330"/>
      <c r="D503" s="308" t="s">
        <v>18</v>
      </c>
      <c r="E503" s="316">
        <v>10188143.460000001</v>
      </c>
      <c r="F503" s="297"/>
    </row>
    <row r="504" spans="1:6" ht="16.95" customHeight="1" x14ac:dyDescent="0.25">
      <c r="A504" s="326">
        <v>148</v>
      </c>
      <c r="B504" s="323" t="s">
        <v>100</v>
      </c>
      <c r="C504" s="319" t="s">
        <v>101</v>
      </c>
      <c r="D504" s="308" t="s">
        <v>96</v>
      </c>
      <c r="E504" s="316">
        <v>3650877.41</v>
      </c>
      <c r="F504" s="297"/>
    </row>
    <row r="505" spans="1:6" ht="16.95" customHeight="1" x14ac:dyDescent="0.25">
      <c r="A505" s="327"/>
      <c r="B505" s="324"/>
      <c r="C505" s="322"/>
      <c r="D505" s="308" t="s">
        <v>31</v>
      </c>
      <c r="E505" s="316">
        <v>15149490.16</v>
      </c>
      <c r="F505" s="297"/>
    </row>
    <row r="506" spans="1:6" ht="16.95" customHeight="1" x14ac:dyDescent="0.25">
      <c r="A506" s="327"/>
      <c r="B506" s="324"/>
      <c r="C506" s="322"/>
      <c r="D506" s="308" t="s">
        <v>33</v>
      </c>
      <c r="E506" s="316">
        <v>5425923.4199999999</v>
      </c>
      <c r="F506" s="297"/>
    </row>
    <row r="507" spans="1:6" ht="16.95" customHeight="1" x14ac:dyDescent="0.25">
      <c r="A507" s="327"/>
      <c r="B507" s="324"/>
      <c r="C507" s="322"/>
      <c r="D507" s="308" t="s">
        <v>17</v>
      </c>
      <c r="E507" s="316">
        <v>635639.35</v>
      </c>
      <c r="F507" s="297"/>
    </row>
    <row r="508" spans="1:6" ht="16.95" customHeight="1" x14ac:dyDescent="0.25">
      <c r="A508" s="328"/>
      <c r="B508" s="325"/>
      <c r="C508" s="320"/>
      <c r="D508" s="308" t="s">
        <v>18</v>
      </c>
      <c r="E508" s="316">
        <v>24861930.34</v>
      </c>
      <c r="F508" s="297"/>
    </row>
    <row r="509" spans="1:6" ht="16.95" customHeight="1" x14ac:dyDescent="0.25">
      <c r="A509" s="326">
        <v>149</v>
      </c>
      <c r="B509" s="323" t="s">
        <v>100</v>
      </c>
      <c r="C509" s="319" t="s">
        <v>102</v>
      </c>
      <c r="D509" s="308" t="s">
        <v>24</v>
      </c>
      <c r="E509" s="316">
        <v>23037236.949999999</v>
      </c>
      <c r="F509" s="297"/>
    </row>
    <row r="510" spans="1:6" ht="16.95" customHeight="1" x14ac:dyDescent="0.25">
      <c r="A510" s="327"/>
      <c r="B510" s="324"/>
      <c r="C510" s="322"/>
      <c r="D510" s="308" t="s">
        <v>96</v>
      </c>
      <c r="E510" s="316">
        <v>5003769.34</v>
      </c>
      <c r="F510" s="297"/>
    </row>
    <row r="511" spans="1:6" ht="16.95" customHeight="1" x14ac:dyDescent="0.25">
      <c r="A511" s="327"/>
      <c r="B511" s="324"/>
      <c r="C511" s="322"/>
      <c r="D511" s="308" t="s">
        <v>31</v>
      </c>
      <c r="E511" s="306">
        <v>20763379.859999999</v>
      </c>
      <c r="F511" s="297"/>
    </row>
    <row r="512" spans="1:6" ht="16.95" customHeight="1" x14ac:dyDescent="0.25">
      <c r="A512" s="327"/>
      <c r="B512" s="324"/>
      <c r="C512" s="322"/>
      <c r="D512" s="310" t="s">
        <v>33</v>
      </c>
      <c r="E512" s="305">
        <v>7436587.5</v>
      </c>
      <c r="F512" s="297"/>
    </row>
    <row r="513" spans="1:6" ht="16.95" customHeight="1" x14ac:dyDescent="0.25">
      <c r="A513" s="327"/>
      <c r="B513" s="324"/>
      <c r="C513" s="322"/>
      <c r="D513" s="308" t="s">
        <v>17</v>
      </c>
      <c r="E513" s="316">
        <v>2062874.75</v>
      </c>
      <c r="F513" s="297"/>
    </row>
    <row r="514" spans="1:6" ht="16.95" customHeight="1" x14ac:dyDescent="0.25">
      <c r="A514" s="328"/>
      <c r="B514" s="325"/>
      <c r="C514" s="320"/>
      <c r="D514" s="308" t="s">
        <v>18</v>
      </c>
      <c r="E514" s="316">
        <v>58303848.399999999</v>
      </c>
      <c r="F514" s="297"/>
    </row>
    <row r="515" spans="1:6" ht="16.95" customHeight="1" x14ac:dyDescent="0.25">
      <c r="A515" s="326">
        <v>150</v>
      </c>
      <c r="B515" s="323" t="s">
        <v>103</v>
      </c>
      <c r="C515" s="319" t="s">
        <v>104</v>
      </c>
      <c r="D515" s="308" t="s">
        <v>22</v>
      </c>
      <c r="E515" s="282">
        <v>2377151.2400000002</v>
      </c>
      <c r="F515" s="297"/>
    </row>
    <row r="516" spans="1:6" ht="16.95" customHeight="1" x14ac:dyDescent="0.25">
      <c r="A516" s="327"/>
      <c r="B516" s="324"/>
      <c r="C516" s="322"/>
      <c r="D516" s="308" t="s">
        <v>17</v>
      </c>
      <c r="E516" s="282">
        <v>124000</v>
      </c>
      <c r="F516" s="297"/>
    </row>
    <row r="517" spans="1:6" ht="16.95" customHeight="1" x14ac:dyDescent="0.25">
      <c r="A517" s="328"/>
      <c r="B517" s="325"/>
      <c r="C517" s="320"/>
      <c r="D517" s="308" t="s">
        <v>18</v>
      </c>
      <c r="E517" s="282">
        <v>2501151.2400000002</v>
      </c>
      <c r="F517" s="297"/>
    </row>
    <row r="518" spans="1:6" ht="16.95" customHeight="1" x14ac:dyDescent="0.25">
      <c r="A518" s="329">
        <v>151</v>
      </c>
      <c r="B518" s="338" t="s">
        <v>105</v>
      </c>
      <c r="C518" s="339">
        <v>7</v>
      </c>
      <c r="D518" s="308" t="s">
        <v>24</v>
      </c>
      <c r="E518" s="316">
        <v>13641914.42</v>
      </c>
      <c r="F518" s="297"/>
    </row>
    <row r="519" spans="1:6" ht="16.95" customHeight="1" x14ac:dyDescent="0.25">
      <c r="A519" s="329"/>
      <c r="B519" s="338"/>
      <c r="C519" s="339"/>
      <c r="D519" s="308" t="s">
        <v>32</v>
      </c>
      <c r="E519" s="316">
        <v>329793.06</v>
      </c>
      <c r="F519" s="297"/>
    </row>
    <row r="520" spans="1:6" ht="16.95" customHeight="1" x14ac:dyDescent="0.25">
      <c r="A520" s="315">
        <v>1</v>
      </c>
      <c r="B520" s="314">
        <v>2</v>
      </c>
      <c r="C520" s="314">
        <v>3</v>
      </c>
      <c r="D520" s="315">
        <v>4</v>
      </c>
      <c r="E520" s="299">
        <v>5</v>
      </c>
      <c r="F520" s="297"/>
    </row>
    <row r="521" spans="1:6" ht="16.95" customHeight="1" x14ac:dyDescent="0.25">
      <c r="A521" s="301"/>
      <c r="B521" s="312"/>
      <c r="C521" s="312"/>
      <c r="D521" s="308" t="s">
        <v>18</v>
      </c>
      <c r="E521" s="316">
        <v>13971707.48</v>
      </c>
      <c r="F521" s="297"/>
    </row>
    <row r="522" spans="1:6" ht="16.95" customHeight="1" x14ac:dyDescent="0.25">
      <c r="A522" s="329">
        <v>152</v>
      </c>
      <c r="B522" s="321" t="s">
        <v>106</v>
      </c>
      <c r="C522" s="330">
        <v>4</v>
      </c>
      <c r="D522" s="308" t="s">
        <v>24</v>
      </c>
      <c r="E522" s="316">
        <v>5336071.21</v>
      </c>
      <c r="F522" s="297"/>
    </row>
    <row r="523" spans="1:6" ht="16.95" customHeight="1" x14ac:dyDescent="0.25">
      <c r="A523" s="329"/>
      <c r="B523" s="321"/>
      <c r="C523" s="330"/>
      <c r="D523" s="308" t="s">
        <v>32</v>
      </c>
      <c r="E523" s="316">
        <v>74705</v>
      </c>
      <c r="F523" s="297"/>
    </row>
    <row r="524" spans="1:6" ht="16.95" customHeight="1" x14ac:dyDescent="0.25">
      <c r="A524" s="329"/>
      <c r="B524" s="321"/>
      <c r="C524" s="330"/>
      <c r="D524" s="308" t="s">
        <v>18</v>
      </c>
      <c r="E524" s="316">
        <v>5410776.21</v>
      </c>
      <c r="F524" s="297"/>
    </row>
    <row r="525" spans="1:6" ht="16.95" customHeight="1" x14ac:dyDescent="0.25">
      <c r="A525" s="326">
        <v>153</v>
      </c>
      <c r="B525" s="323" t="s">
        <v>106</v>
      </c>
      <c r="C525" s="319">
        <v>8</v>
      </c>
      <c r="D525" s="308" t="s">
        <v>24</v>
      </c>
      <c r="E525" s="316">
        <v>9846462.4800000004</v>
      </c>
      <c r="F525" s="297"/>
    </row>
    <row r="526" spans="1:6" ht="16.95" customHeight="1" x14ac:dyDescent="0.25">
      <c r="A526" s="327"/>
      <c r="B526" s="324"/>
      <c r="C526" s="322"/>
      <c r="D526" s="308" t="s">
        <v>32</v>
      </c>
      <c r="E526" s="316">
        <v>321553.62</v>
      </c>
      <c r="F526" s="297"/>
    </row>
    <row r="527" spans="1:6" ht="16.95" customHeight="1" x14ac:dyDescent="0.25">
      <c r="A527" s="328"/>
      <c r="B527" s="325"/>
      <c r="C527" s="320"/>
      <c r="D527" s="308" t="s">
        <v>18</v>
      </c>
      <c r="E527" s="316">
        <v>10168016.1</v>
      </c>
      <c r="F527" s="297"/>
    </row>
    <row r="528" spans="1:6" ht="16.95" customHeight="1" x14ac:dyDescent="0.25">
      <c r="A528" s="329">
        <v>154</v>
      </c>
      <c r="B528" s="321" t="s">
        <v>107</v>
      </c>
      <c r="C528" s="330" t="s">
        <v>108</v>
      </c>
      <c r="D528" s="308" t="s">
        <v>24</v>
      </c>
      <c r="E528" s="316">
        <v>6857764.7199999997</v>
      </c>
      <c r="F528" s="297"/>
    </row>
    <row r="529" spans="1:6" ht="16.95" customHeight="1" x14ac:dyDescent="0.25">
      <c r="A529" s="329"/>
      <c r="B529" s="321"/>
      <c r="C529" s="330"/>
      <c r="D529" s="308" t="s">
        <v>32</v>
      </c>
      <c r="E529" s="316">
        <v>405385.11</v>
      </c>
      <c r="F529" s="297"/>
    </row>
    <row r="530" spans="1:6" ht="16.95" customHeight="1" x14ac:dyDescent="0.25">
      <c r="A530" s="329"/>
      <c r="B530" s="321"/>
      <c r="C530" s="330"/>
      <c r="D530" s="308" t="s">
        <v>18</v>
      </c>
      <c r="E530" s="316">
        <v>7263149.8300000001</v>
      </c>
      <c r="F530" s="297"/>
    </row>
    <row r="531" spans="1:6" ht="16.95" customHeight="1" x14ac:dyDescent="0.25">
      <c r="A531" s="326">
        <v>155</v>
      </c>
      <c r="B531" s="337" t="s">
        <v>868</v>
      </c>
      <c r="C531" s="330">
        <v>3</v>
      </c>
      <c r="D531" s="308" t="s">
        <v>59</v>
      </c>
      <c r="E531" s="316">
        <v>1215410.51</v>
      </c>
      <c r="F531" s="297"/>
    </row>
    <row r="532" spans="1:6" ht="16.95" customHeight="1" x14ac:dyDescent="0.25">
      <c r="A532" s="327"/>
      <c r="B532" s="321"/>
      <c r="C532" s="330"/>
      <c r="D532" s="308" t="s">
        <v>32</v>
      </c>
      <c r="E532" s="316">
        <v>224000</v>
      </c>
      <c r="F532" s="297"/>
    </row>
    <row r="533" spans="1:6" ht="16.95" customHeight="1" x14ac:dyDescent="0.25">
      <c r="A533" s="328"/>
      <c r="B533" s="321"/>
      <c r="C533" s="330"/>
      <c r="D533" s="308" t="s">
        <v>18</v>
      </c>
      <c r="E533" s="316">
        <v>1439410.51</v>
      </c>
      <c r="F533" s="297"/>
    </row>
    <row r="534" spans="1:6" ht="16.95" customHeight="1" x14ac:dyDescent="0.25">
      <c r="A534" s="329">
        <v>156</v>
      </c>
      <c r="B534" s="321" t="s">
        <v>110</v>
      </c>
      <c r="C534" s="330" t="s">
        <v>111</v>
      </c>
      <c r="D534" s="308" t="s">
        <v>16</v>
      </c>
      <c r="E534" s="316">
        <v>3702831.57</v>
      </c>
      <c r="F534" s="297"/>
    </row>
    <row r="535" spans="1:6" ht="16.95" customHeight="1" x14ac:dyDescent="0.25">
      <c r="A535" s="329"/>
      <c r="B535" s="321"/>
      <c r="C535" s="330"/>
      <c r="D535" s="308" t="s">
        <v>17</v>
      </c>
      <c r="E535" s="316">
        <v>151890.07999999999</v>
      </c>
      <c r="F535" s="297"/>
    </row>
    <row r="536" spans="1:6" ht="16.95" customHeight="1" x14ac:dyDescent="0.25">
      <c r="A536" s="329"/>
      <c r="B536" s="321"/>
      <c r="C536" s="330"/>
      <c r="D536" s="308" t="s">
        <v>18</v>
      </c>
      <c r="E536" s="316">
        <v>3854721.65</v>
      </c>
      <c r="F536" s="297"/>
    </row>
    <row r="537" spans="1:6" ht="16.95" customHeight="1" x14ac:dyDescent="0.25">
      <c r="A537" s="326">
        <v>157</v>
      </c>
      <c r="B537" s="337" t="s">
        <v>868</v>
      </c>
      <c r="C537" s="330">
        <v>30</v>
      </c>
      <c r="D537" s="308" t="s">
        <v>59</v>
      </c>
      <c r="E537" s="316">
        <v>1215410.51</v>
      </c>
      <c r="F537" s="297"/>
    </row>
    <row r="538" spans="1:6" ht="16.95" customHeight="1" x14ac:dyDescent="0.25">
      <c r="A538" s="327"/>
      <c r="B538" s="321"/>
      <c r="C538" s="330"/>
      <c r="D538" s="308" t="s">
        <v>32</v>
      </c>
      <c r="E538" s="316">
        <v>224000</v>
      </c>
      <c r="F538" s="297"/>
    </row>
    <row r="539" spans="1:6" ht="16.95" customHeight="1" x14ac:dyDescent="0.25">
      <c r="A539" s="328"/>
      <c r="B539" s="321"/>
      <c r="C539" s="330"/>
      <c r="D539" s="308" t="s">
        <v>18</v>
      </c>
      <c r="E539" s="316">
        <v>1439410.51</v>
      </c>
      <c r="F539" s="297"/>
    </row>
    <row r="540" spans="1:6" ht="16.95" customHeight="1" x14ac:dyDescent="0.25">
      <c r="A540" s="326">
        <v>158</v>
      </c>
      <c r="B540" s="333" t="s">
        <v>868</v>
      </c>
      <c r="C540" s="319" t="s">
        <v>862</v>
      </c>
      <c r="D540" s="308" t="s">
        <v>59</v>
      </c>
      <c r="E540" s="316">
        <v>1215410.51</v>
      </c>
      <c r="F540" s="297"/>
    </row>
    <row r="541" spans="1:6" ht="16.95" customHeight="1" x14ac:dyDescent="0.25">
      <c r="A541" s="327"/>
      <c r="B541" s="324"/>
      <c r="C541" s="322"/>
      <c r="D541" s="308" t="s">
        <v>32</v>
      </c>
      <c r="E541" s="316">
        <v>224000</v>
      </c>
      <c r="F541" s="297"/>
    </row>
    <row r="542" spans="1:6" ht="16.95" customHeight="1" x14ac:dyDescent="0.25">
      <c r="A542" s="328"/>
      <c r="B542" s="325"/>
      <c r="C542" s="320"/>
      <c r="D542" s="308" t="s">
        <v>18</v>
      </c>
      <c r="E542" s="316">
        <v>1439410.51</v>
      </c>
      <c r="F542" s="297"/>
    </row>
    <row r="543" spans="1:6" ht="16.95" customHeight="1" x14ac:dyDescent="0.25">
      <c r="A543" s="326">
        <v>159</v>
      </c>
      <c r="B543" s="323" t="s">
        <v>110</v>
      </c>
      <c r="C543" s="319" t="s">
        <v>113</v>
      </c>
      <c r="D543" s="308" t="s">
        <v>16</v>
      </c>
      <c r="E543" s="316">
        <v>1851415.78</v>
      </c>
      <c r="F543" s="297"/>
    </row>
    <row r="544" spans="1:6" ht="16.95" customHeight="1" x14ac:dyDescent="0.25">
      <c r="A544" s="327"/>
      <c r="B544" s="324"/>
      <c r="C544" s="322"/>
      <c r="D544" s="308" t="s">
        <v>17</v>
      </c>
      <c r="E544" s="316">
        <v>75945.039999999994</v>
      </c>
      <c r="F544" s="297"/>
    </row>
    <row r="545" spans="1:6" ht="16.95" customHeight="1" x14ac:dyDescent="0.25">
      <c r="A545" s="328"/>
      <c r="B545" s="325"/>
      <c r="C545" s="320"/>
      <c r="D545" s="308" t="s">
        <v>18</v>
      </c>
      <c r="E545" s="316">
        <v>1927360.82</v>
      </c>
      <c r="F545" s="297"/>
    </row>
    <row r="546" spans="1:6" ht="16.95" customHeight="1" x14ac:dyDescent="0.25">
      <c r="A546" s="326">
        <v>160</v>
      </c>
      <c r="B546" s="323" t="s">
        <v>110</v>
      </c>
      <c r="C546" s="319" t="s">
        <v>114</v>
      </c>
      <c r="D546" s="308" t="s">
        <v>16</v>
      </c>
      <c r="E546" s="316">
        <v>3702831.57</v>
      </c>
      <c r="F546" s="297"/>
    </row>
    <row r="547" spans="1:6" ht="16.95" customHeight="1" x14ac:dyDescent="0.25">
      <c r="A547" s="327"/>
      <c r="B547" s="324"/>
      <c r="C547" s="322"/>
      <c r="D547" s="308" t="s">
        <v>17</v>
      </c>
      <c r="E547" s="316">
        <v>151890.07999999999</v>
      </c>
      <c r="F547" s="297"/>
    </row>
    <row r="548" spans="1:6" ht="16.95" customHeight="1" x14ac:dyDescent="0.25">
      <c r="A548" s="328"/>
      <c r="B548" s="325"/>
      <c r="C548" s="320"/>
      <c r="D548" s="308" t="s">
        <v>18</v>
      </c>
      <c r="E548" s="316">
        <v>3854721.65</v>
      </c>
      <c r="F548" s="297"/>
    </row>
    <row r="549" spans="1:6" ht="16.95" customHeight="1" x14ac:dyDescent="0.25">
      <c r="A549" s="315">
        <v>1</v>
      </c>
      <c r="B549" s="314">
        <v>2</v>
      </c>
      <c r="C549" s="314">
        <v>3</v>
      </c>
      <c r="D549" s="315">
        <v>4</v>
      </c>
      <c r="E549" s="299">
        <v>5</v>
      </c>
      <c r="F549" s="297"/>
    </row>
    <row r="550" spans="1:6" ht="16.95" customHeight="1" x14ac:dyDescent="0.25">
      <c r="A550" s="326">
        <v>161</v>
      </c>
      <c r="B550" s="321" t="s">
        <v>115</v>
      </c>
      <c r="C550" s="330">
        <v>8</v>
      </c>
      <c r="D550" s="308" t="s">
        <v>24</v>
      </c>
      <c r="E550" s="316">
        <v>41063600.619999997</v>
      </c>
      <c r="F550" s="297"/>
    </row>
    <row r="551" spans="1:6" ht="16.95" customHeight="1" x14ac:dyDescent="0.25">
      <c r="A551" s="327"/>
      <c r="B551" s="321"/>
      <c r="C551" s="330"/>
      <c r="D551" s="308" t="s">
        <v>32</v>
      </c>
      <c r="E551" s="316">
        <v>2427404.96</v>
      </c>
      <c r="F551" s="297"/>
    </row>
    <row r="552" spans="1:6" ht="16.95" customHeight="1" x14ac:dyDescent="0.25">
      <c r="A552" s="328"/>
      <c r="B552" s="321"/>
      <c r="C552" s="330"/>
      <c r="D552" s="308" t="s">
        <v>18</v>
      </c>
      <c r="E552" s="316">
        <v>43491005.579999998</v>
      </c>
      <c r="F552" s="297"/>
    </row>
    <row r="553" spans="1:6" ht="31.8" customHeight="1" x14ac:dyDescent="0.25">
      <c r="A553" s="329">
        <v>162</v>
      </c>
      <c r="B553" s="321" t="s">
        <v>117</v>
      </c>
      <c r="C553" s="330">
        <v>26</v>
      </c>
      <c r="D553" s="308" t="s">
        <v>861</v>
      </c>
      <c r="E553" s="316">
        <v>18732841.800000001</v>
      </c>
      <c r="F553" s="297"/>
    </row>
    <row r="554" spans="1:6" ht="16.95" customHeight="1" x14ac:dyDescent="0.25">
      <c r="A554" s="329"/>
      <c r="B554" s="321"/>
      <c r="C554" s="330"/>
      <c r="D554" s="308" t="s">
        <v>31</v>
      </c>
      <c r="E554" s="316">
        <v>8301153.21</v>
      </c>
      <c r="F554" s="297"/>
    </row>
    <row r="555" spans="1:6" ht="16.95" customHeight="1" x14ac:dyDescent="0.25">
      <c r="A555" s="329"/>
      <c r="B555" s="321"/>
      <c r="C555" s="330"/>
      <c r="D555" s="308" t="s">
        <v>17</v>
      </c>
      <c r="E555" s="316">
        <v>1598068.67</v>
      </c>
      <c r="F555" s="297"/>
    </row>
    <row r="556" spans="1:6" ht="16.95" customHeight="1" x14ac:dyDescent="0.25">
      <c r="A556" s="329"/>
      <c r="B556" s="321"/>
      <c r="C556" s="330"/>
      <c r="D556" s="308" t="s">
        <v>18</v>
      </c>
      <c r="E556" s="316">
        <f>SUM(E553:E555)</f>
        <v>28632063.68</v>
      </c>
      <c r="F556" s="297"/>
    </row>
    <row r="557" spans="1:6" ht="16.95" customHeight="1" x14ac:dyDescent="0.25">
      <c r="A557" s="329">
        <v>163</v>
      </c>
      <c r="B557" s="337" t="s">
        <v>869</v>
      </c>
      <c r="C557" s="330">
        <v>47</v>
      </c>
      <c r="D557" s="308" t="s">
        <v>59</v>
      </c>
      <c r="E557" s="316">
        <v>1215410.51</v>
      </c>
      <c r="F557" s="297"/>
    </row>
    <row r="558" spans="1:6" ht="16.95" customHeight="1" x14ac:dyDescent="0.25">
      <c r="A558" s="329"/>
      <c r="B558" s="321"/>
      <c r="C558" s="330"/>
      <c r="D558" s="308" t="s">
        <v>17</v>
      </c>
      <c r="E558" s="316">
        <v>531157.51</v>
      </c>
      <c r="F558" s="297"/>
    </row>
    <row r="559" spans="1:6" ht="16.95" customHeight="1" x14ac:dyDescent="0.25">
      <c r="A559" s="329"/>
      <c r="B559" s="321"/>
      <c r="C559" s="330"/>
      <c r="D559" s="308" t="s">
        <v>18</v>
      </c>
      <c r="E559" s="316">
        <v>1746568.02</v>
      </c>
      <c r="F559" s="297"/>
    </row>
    <row r="560" spans="1:6" ht="16.95" customHeight="1" x14ac:dyDescent="0.25">
      <c r="A560" s="329">
        <v>164</v>
      </c>
      <c r="B560" s="323" t="s">
        <v>116</v>
      </c>
      <c r="C560" s="319">
        <v>10</v>
      </c>
      <c r="D560" s="308" t="s">
        <v>22</v>
      </c>
      <c r="E560" s="282">
        <v>9508604.9600000009</v>
      </c>
      <c r="F560" s="297"/>
    </row>
    <row r="561" spans="1:6" ht="16.95" customHeight="1" x14ac:dyDescent="0.25">
      <c r="A561" s="329"/>
      <c r="B561" s="324"/>
      <c r="C561" s="322"/>
      <c r="D561" s="308" t="s">
        <v>17</v>
      </c>
      <c r="E561" s="282">
        <v>496000</v>
      </c>
      <c r="F561" s="297"/>
    </row>
    <row r="562" spans="1:6" ht="16.95" customHeight="1" x14ac:dyDescent="0.25">
      <c r="A562" s="329"/>
      <c r="B562" s="325"/>
      <c r="C562" s="320"/>
      <c r="D562" s="308" t="s">
        <v>18</v>
      </c>
      <c r="E562" s="282">
        <v>10004604.960000001</v>
      </c>
      <c r="F562" s="297"/>
    </row>
    <row r="563" spans="1:6" ht="16.95" customHeight="1" x14ac:dyDescent="0.25">
      <c r="A563" s="326">
        <v>165</v>
      </c>
      <c r="B563" s="323" t="s">
        <v>116</v>
      </c>
      <c r="C563" s="319">
        <v>14</v>
      </c>
      <c r="D563" s="308" t="s">
        <v>22</v>
      </c>
      <c r="E563" s="282">
        <v>7131453.7199999997</v>
      </c>
      <c r="F563" s="297"/>
    </row>
    <row r="564" spans="1:6" ht="16.95" customHeight="1" x14ac:dyDescent="0.25">
      <c r="A564" s="327"/>
      <c r="B564" s="324"/>
      <c r="C564" s="322"/>
      <c r="D564" s="308" t="s">
        <v>17</v>
      </c>
      <c r="E564" s="282">
        <v>372000</v>
      </c>
      <c r="F564" s="297"/>
    </row>
    <row r="565" spans="1:6" ht="16.95" customHeight="1" x14ac:dyDescent="0.25">
      <c r="A565" s="328"/>
      <c r="B565" s="325"/>
      <c r="C565" s="320"/>
      <c r="D565" s="308" t="s">
        <v>18</v>
      </c>
      <c r="E565" s="282">
        <v>7503453.7199999997</v>
      </c>
      <c r="F565" s="297"/>
    </row>
    <row r="566" spans="1:6" ht="16.95" customHeight="1" x14ac:dyDescent="0.25">
      <c r="A566" s="326">
        <v>166</v>
      </c>
      <c r="B566" s="323" t="s">
        <v>116</v>
      </c>
      <c r="C566" s="319">
        <v>20</v>
      </c>
      <c r="D566" s="308" t="s">
        <v>22</v>
      </c>
      <c r="E566" s="282">
        <v>7131453.7199999997</v>
      </c>
      <c r="F566" s="297"/>
    </row>
    <row r="567" spans="1:6" ht="16.95" customHeight="1" x14ac:dyDescent="0.25">
      <c r="A567" s="327"/>
      <c r="B567" s="324"/>
      <c r="C567" s="322"/>
      <c r="D567" s="308" t="s">
        <v>17</v>
      </c>
      <c r="E567" s="282">
        <v>372000</v>
      </c>
      <c r="F567" s="297"/>
    </row>
    <row r="568" spans="1:6" ht="16.95" customHeight="1" x14ac:dyDescent="0.25">
      <c r="A568" s="328"/>
      <c r="B568" s="325"/>
      <c r="C568" s="320"/>
      <c r="D568" s="308" t="s">
        <v>18</v>
      </c>
      <c r="E568" s="282">
        <v>7503453.7199999997</v>
      </c>
      <c r="F568" s="297"/>
    </row>
    <row r="569" spans="1:6" ht="16.95" customHeight="1" x14ac:dyDescent="0.25">
      <c r="A569" s="326">
        <v>167</v>
      </c>
      <c r="B569" s="323" t="s">
        <v>119</v>
      </c>
      <c r="C569" s="319" t="s">
        <v>120</v>
      </c>
      <c r="D569" s="308" t="s">
        <v>26</v>
      </c>
      <c r="E569" s="316">
        <v>2209994.52</v>
      </c>
      <c r="F569" s="297"/>
    </row>
    <row r="570" spans="1:6" ht="16.95" customHeight="1" x14ac:dyDescent="0.25">
      <c r="A570" s="327"/>
      <c r="B570" s="324"/>
      <c r="C570" s="322"/>
      <c r="D570" s="308" t="s">
        <v>27</v>
      </c>
      <c r="E570" s="316">
        <v>12012543.99</v>
      </c>
      <c r="F570" s="297"/>
    </row>
    <row r="571" spans="1:6" ht="16.95" customHeight="1" x14ac:dyDescent="0.25">
      <c r="A571" s="327"/>
      <c r="B571" s="324"/>
      <c r="C571" s="322"/>
      <c r="D571" s="308" t="s">
        <v>28</v>
      </c>
      <c r="E571" s="316">
        <v>2331745.94</v>
      </c>
      <c r="F571" s="297"/>
    </row>
    <row r="572" spans="1:6" ht="16.95" customHeight="1" x14ac:dyDescent="0.25">
      <c r="A572" s="327"/>
      <c r="B572" s="324"/>
      <c r="C572" s="322"/>
      <c r="D572" s="308" t="s">
        <v>29</v>
      </c>
      <c r="E572" s="316">
        <v>2306283.9300000002</v>
      </c>
      <c r="F572" s="297"/>
    </row>
    <row r="573" spans="1:6" ht="16.95" customHeight="1" x14ac:dyDescent="0.25">
      <c r="A573" s="327"/>
      <c r="B573" s="324"/>
      <c r="C573" s="322"/>
      <c r="D573" s="308" t="s">
        <v>30</v>
      </c>
      <c r="E573" s="316">
        <v>2311483.92</v>
      </c>
      <c r="F573" s="297"/>
    </row>
    <row r="574" spans="1:6" ht="16.95" customHeight="1" x14ac:dyDescent="0.25">
      <c r="A574" s="327"/>
      <c r="B574" s="324"/>
      <c r="C574" s="322"/>
      <c r="D574" s="308" t="s">
        <v>24</v>
      </c>
      <c r="E574" s="316">
        <v>12613734.23</v>
      </c>
      <c r="F574" s="297"/>
    </row>
    <row r="575" spans="1:6" ht="16.95" customHeight="1" x14ac:dyDescent="0.25">
      <c r="A575" s="327"/>
      <c r="B575" s="324"/>
      <c r="C575" s="322"/>
      <c r="D575" s="308" t="s">
        <v>32</v>
      </c>
      <c r="E575" s="316">
        <v>1393012.7</v>
      </c>
      <c r="F575" s="297"/>
    </row>
    <row r="576" spans="1:6" ht="16.95" customHeight="1" x14ac:dyDescent="0.25">
      <c r="A576" s="328"/>
      <c r="B576" s="325"/>
      <c r="C576" s="320"/>
      <c r="D576" s="308" t="s">
        <v>18</v>
      </c>
      <c r="E576" s="316">
        <v>35178799.229999997</v>
      </c>
      <c r="F576" s="297"/>
    </row>
    <row r="577" spans="1:6" ht="16.95" customHeight="1" x14ac:dyDescent="0.25">
      <c r="A577" s="315">
        <v>1</v>
      </c>
      <c r="B577" s="314">
        <v>2</v>
      </c>
      <c r="C577" s="314">
        <v>3</v>
      </c>
      <c r="D577" s="315">
        <v>4</v>
      </c>
      <c r="E577" s="299">
        <v>5</v>
      </c>
      <c r="F577" s="297"/>
    </row>
    <row r="578" spans="1:6" ht="16.95" customHeight="1" x14ac:dyDescent="0.25">
      <c r="A578" s="326">
        <v>168</v>
      </c>
      <c r="B578" s="323" t="s">
        <v>119</v>
      </c>
      <c r="C578" s="319" t="s">
        <v>121</v>
      </c>
      <c r="D578" s="308" t="s">
        <v>24</v>
      </c>
      <c r="E578" s="316">
        <v>9582087.3100000005</v>
      </c>
      <c r="F578" s="297"/>
    </row>
    <row r="579" spans="1:6" ht="16.95" customHeight="1" x14ac:dyDescent="0.25">
      <c r="A579" s="327"/>
      <c r="B579" s="324"/>
      <c r="C579" s="322"/>
      <c r="D579" s="308" t="s">
        <v>32</v>
      </c>
      <c r="E579" s="316">
        <v>315469.21000000002</v>
      </c>
      <c r="F579" s="297"/>
    </row>
    <row r="580" spans="1:6" ht="16.95" customHeight="1" x14ac:dyDescent="0.25">
      <c r="A580" s="328"/>
      <c r="B580" s="325"/>
      <c r="C580" s="320"/>
      <c r="D580" s="308" t="s">
        <v>18</v>
      </c>
      <c r="E580" s="316">
        <v>9897556.5199999996</v>
      </c>
      <c r="F580" s="297"/>
    </row>
    <row r="581" spans="1:6" ht="16.95" customHeight="1" x14ac:dyDescent="0.25">
      <c r="A581" s="329">
        <v>169</v>
      </c>
      <c r="B581" s="321" t="s">
        <v>119</v>
      </c>
      <c r="C581" s="330" t="s">
        <v>122</v>
      </c>
      <c r="D581" s="308" t="s">
        <v>22</v>
      </c>
      <c r="E581" s="282">
        <v>2377151.2400000002</v>
      </c>
      <c r="F581" s="297"/>
    </row>
    <row r="582" spans="1:6" ht="16.95" customHeight="1" x14ac:dyDescent="0.25">
      <c r="A582" s="329"/>
      <c r="B582" s="321"/>
      <c r="C582" s="330"/>
      <c r="D582" s="308" t="s">
        <v>17</v>
      </c>
      <c r="E582" s="282">
        <v>124000</v>
      </c>
      <c r="F582" s="297"/>
    </row>
    <row r="583" spans="1:6" ht="16.95" customHeight="1" x14ac:dyDescent="0.25">
      <c r="A583" s="329"/>
      <c r="B583" s="321"/>
      <c r="C583" s="330"/>
      <c r="D583" s="308" t="s">
        <v>18</v>
      </c>
      <c r="E583" s="282">
        <v>2501151.2400000002</v>
      </c>
      <c r="F583" s="297"/>
    </row>
    <row r="584" spans="1:6" ht="16.95" customHeight="1" x14ac:dyDescent="0.25">
      <c r="A584" s="329">
        <v>170</v>
      </c>
      <c r="B584" s="321" t="s">
        <v>119</v>
      </c>
      <c r="C584" s="330" t="s">
        <v>123</v>
      </c>
      <c r="D584" s="308" t="s">
        <v>22</v>
      </c>
      <c r="E584" s="282">
        <v>4754302.4800000004</v>
      </c>
      <c r="F584" s="297"/>
    </row>
    <row r="585" spans="1:6" ht="16.95" customHeight="1" x14ac:dyDescent="0.25">
      <c r="A585" s="329"/>
      <c r="B585" s="321"/>
      <c r="C585" s="330"/>
      <c r="D585" s="308" t="s">
        <v>17</v>
      </c>
      <c r="E585" s="282">
        <v>248000</v>
      </c>
      <c r="F585" s="297"/>
    </row>
    <row r="586" spans="1:6" ht="16.95" customHeight="1" x14ac:dyDescent="0.25">
      <c r="A586" s="329"/>
      <c r="B586" s="321"/>
      <c r="C586" s="330"/>
      <c r="D586" s="308" t="s">
        <v>18</v>
      </c>
      <c r="E586" s="282">
        <v>5002302.4800000004</v>
      </c>
      <c r="F586" s="297"/>
    </row>
    <row r="587" spans="1:6" ht="16.95" customHeight="1" x14ac:dyDescent="0.25">
      <c r="A587" s="329">
        <v>171</v>
      </c>
      <c r="B587" s="321" t="s">
        <v>119</v>
      </c>
      <c r="C587" s="330" t="s">
        <v>124</v>
      </c>
      <c r="D587" s="308" t="s">
        <v>22</v>
      </c>
      <c r="E587" s="282">
        <v>2377151.2400000002</v>
      </c>
      <c r="F587" s="297"/>
    </row>
    <row r="588" spans="1:6" ht="16.95" customHeight="1" x14ac:dyDescent="0.25">
      <c r="A588" s="329"/>
      <c r="B588" s="321"/>
      <c r="C588" s="330"/>
      <c r="D588" s="308" t="s">
        <v>17</v>
      </c>
      <c r="E588" s="282">
        <v>124000</v>
      </c>
      <c r="F588" s="297"/>
    </row>
    <row r="589" spans="1:6" ht="16.95" customHeight="1" x14ac:dyDescent="0.25">
      <c r="A589" s="329"/>
      <c r="B589" s="321"/>
      <c r="C589" s="330"/>
      <c r="D589" s="308" t="s">
        <v>18</v>
      </c>
      <c r="E589" s="282">
        <v>2501151.2400000002</v>
      </c>
      <c r="F589" s="297"/>
    </row>
    <row r="590" spans="1:6" ht="16.95" customHeight="1" x14ac:dyDescent="0.25">
      <c r="A590" s="329">
        <v>172</v>
      </c>
      <c r="B590" s="321" t="s">
        <v>119</v>
      </c>
      <c r="C590" s="330" t="s">
        <v>125</v>
      </c>
      <c r="D590" s="308" t="s">
        <v>22</v>
      </c>
      <c r="E590" s="282">
        <v>2377151.2400000002</v>
      </c>
      <c r="F590" s="297"/>
    </row>
    <row r="591" spans="1:6" ht="16.95" customHeight="1" x14ac:dyDescent="0.25">
      <c r="A591" s="329"/>
      <c r="B591" s="321"/>
      <c r="C591" s="330"/>
      <c r="D591" s="308" t="s">
        <v>17</v>
      </c>
      <c r="E591" s="282">
        <v>124000</v>
      </c>
      <c r="F591" s="297"/>
    </row>
    <row r="592" spans="1:6" ht="16.95" customHeight="1" x14ac:dyDescent="0.25">
      <c r="A592" s="329"/>
      <c r="B592" s="321"/>
      <c r="C592" s="330"/>
      <c r="D592" s="308" t="s">
        <v>18</v>
      </c>
      <c r="E592" s="282">
        <v>2501151.2400000002</v>
      </c>
      <c r="F592" s="297"/>
    </row>
    <row r="593" spans="1:6" ht="16.95" customHeight="1" x14ac:dyDescent="0.25">
      <c r="A593" s="329">
        <v>173</v>
      </c>
      <c r="B593" s="321" t="s">
        <v>119</v>
      </c>
      <c r="C593" s="330" t="s">
        <v>126</v>
      </c>
      <c r="D593" s="308" t="s">
        <v>22</v>
      </c>
      <c r="E593" s="282">
        <v>2377151.2400000002</v>
      </c>
      <c r="F593" s="297"/>
    </row>
    <row r="594" spans="1:6" ht="16.95" customHeight="1" x14ac:dyDescent="0.25">
      <c r="A594" s="329"/>
      <c r="B594" s="321"/>
      <c r="C594" s="330"/>
      <c r="D594" s="308" t="s">
        <v>17</v>
      </c>
      <c r="E594" s="282">
        <v>124000</v>
      </c>
      <c r="F594" s="297"/>
    </row>
    <row r="595" spans="1:6" ht="16.95" customHeight="1" x14ac:dyDescent="0.25">
      <c r="A595" s="329"/>
      <c r="B595" s="321"/>
      <c r="C595" s="330"/>
      <c r="D595" s="308" t="s">
        <v>18</v>
      </c>
      <c r="E595" s="282">
        <v>2501151.2400000002</v>
      </c>
      <c r="F595" s="297"/>
    </row>
    <row r="596" spans="1:6" ht="16.95" customHeight="1" x14ac:dyDescent="0.25">
      <c r="A596" s="329">
        <v>174</v>
      </c>
      <c r="B596" s="321" t="s">
        <v>119</v>
      </c>
      <c r="C596" s="330">
        <v>54</v>
      </c>
      <c r="D596" s="308" t="s">
        <v>24</v>
      </c>
      <c r="E596" s="316">
        <v>5439511.8700000001</v>
      </c>
      <c r="F596" s="297"/>
    </row>
    <row r="597" spans="1:6" ht="16.95" customHeight="1" x14ac:dyDescent="0.25">
      <c r="A597" s="329"/>
      <c r="B597" s="321"/>
      <c r="C597" s="330"/>
      <c r="D597" s="308" t="s">
        <v>32</v>
      </c>
      <c r="E597" s="316">
        <v>626259.69999999995</v>
      </c>
      <c r="F597" s="297"/>
    </row>
    <row r="598" spans="1:6" ht="16.95" customHeight="1" x14ac:dyDescent="0.25">
      <c r="A598" s="329"/>
      <c r="B598" s="321"/>
      <c r="C598" s="330"/>
      <c r="D598" s="308" t="s">
        <v>18</v>
      </c>
      <c r="E598" s="316">
        <v>6065771.5700000003</v>
      </c>
      <c r="F598" s="297"/>
    </row>
    <row r="599" spans="1:6" ht="16.95" customHeight="1" x14ac:dyDescent="0.25">
      <c r="A599" s="329">
        <v>175</v>
      </c>
      <c r="B599" s="321" t="s">
        <v>119</v>
      </c>
      <c r="C599" s="330">
        <v>66</v>
      </c>
      <c r="D599" s="308" t="s">
        <v>22</v>
      </c>
      <c r="E599" s="316">
        <v>4754302.4800000004</v>
      </c>
      <c r="F599" s="297"/>
    </row>
    <row r="600" spans="1:6" ht="16.95" customHeight="1" x14ac:dyDescent="0.25">
      <c r="A600" s="329"/>
      <c r="B600" s="321"/>
      <c r="C600" s="330"/>
      <c r="D600" s="308" t="s">
        <v>16</v>
      </c>
      <c r="E600" s="316">
        <v>3702831.57</v>
      </c>
      <c r="F600" s="297"/>
    </row>
    <row r="601" spans="1:6" ht="16.95" customHeight="1" x14ac:dyDescent="0.25">
      <c r="A601" s="329"/>
      <c r="B601" s="321"/>
      <c r="C601" s="330"/>
      <c r="D601" s="308" t="s">
        <v>32</v>
      </c>
      <c r="E601" s="316">
        <v>399890.08</v>
      </c>
      <c r="F601" s="297"/>
    </row>
    <row r="602" spans="1:6" ht="16.95" customHeight="1" x14ac:dyDescent="0.25">
      <c r="A602" s="329"/>
      <c r="B602" s="321"/>
      <c r="C602" s="330"/>
      <c r="D602" s="308" t="s">
        <v>18</v>
      </c>
      <c r="E602" s="316">
        <v>8857024.1300000008</v>
      </c>
      <c r="F602" s="297"/>
    </row>
    <row r="603" spans="1:6" ht="16.95" customHeight="1" x14ac:dyDescent="0.25">
      <c r="A603" s="329">
        <v>176</v>
      </c>
      <c r="B603" s="321" t="s">
        <v>119</v>
      </c>
      <c r="C603" s="330">
        <v>68</v>
      </c>
      <c r="D603" s="308" t="s">
        <v>22</v>
      </c>
      <c r="E603" s="316">
        <v>4754302.4800000004</v>
      </c>
      <c r="F603" s="297"/>
    </row>
    <row r="604" spans="1:6" ht="16.95" customHeight="1" x14ac:dyDescent="0.25">
      <c r="A604" s="329"/>
      <c r="B604" s="321"/>
      <c r="C604" s="330"/>
      <c r="D604" s="308" t="s">
        <v>16</v>
      </c>
      <c r="E604" s="316">
        <v>3702831.57</v>
      </c>
      <c r="F604" s="297"/>
    </row>
    <row r="605" spans="1:6" ht="16.95" customHeight="1" x14ac:dyDescent="0.25">
      <c r="A605" s="329"/>
      <c r="B605" s="321"/>
      <c r="C605" s="330"/>
      <c r="D605" s="308" t="s">
        <v>32</v>
      </c>
      <c r="E605" s="316">
        <v>399890.08</v>
      </c>
      <c r="F605" s="297"/>
    </row>
    <row r="606" spans="1:6" ht="18" customHeight="1" x14ac:dyDescent="0.25">
      <c r="A606" s="315">
        <v>1</v>
      </c>
      <c r="B606" s="314">
        <v>2</v>
      </c>
      <c r="C606" s="314">
        <v>3</v>
      </c>
      <c r="D606" s="315">
        <v>4</v>
      </c>
      <c r="E606" s="299">
        <v>5</v>
      </c>
      <c r="F606" s="297"/>
    </row>
    <row r="607" spans="1:6" ht="16.95" customHeight="1" x14ac:dyDescent="0.25">
      <c r="A607" s="301"/>
      <c r="B607" s="288"/>
      <c r="C607" s="288"/>
      <c r="D607" s="308" t="s">
        <v>18</v>
      </c>
      <c r="E607" s="316">
        <v>8857024.1300000008</v>
      </c>
      <c r="F607" s="297"/>
    </row>
    <row r="608" spans="1:6" ht="16.95" customHeight="1" x14ac:dyDescent="0.25">
      <c r="A608" s="329">
        <v>177</v>
      </c>
      <c r="B608" s="321" t="s">
        <v>119</v>
      </c>
      <c r="C608" s="330">
        <v>70</v>
      </c>
      <c r="D608" s="308" t="s">
        <v>22</v>
      </c>
      <c r="E608" s="316">
        <v>4754302.4800000004</v>
      </c>
      <c r="F608" s="297"/>
    </row>
    <row r="609" spans="1:6" ht="16.95" customHeight="1" x14ac:dyDescent="0.25">
      <c r="A609" s="329"/>
      <c r="B609" s="321"/>
      <c r="C609" s="330"/>
      <c r="D609" s="308" t="s">
        <v>16</v>
      </c>
      <c r="E609" s="316">
        <v>3702831.57</v>
      </c>
      <c r="F609" s="297"/>
    </row>
    <row r="610" spans="1:6" ht="16.95" customHeight="1" x14ac:dyDescent="0.25">
      <c r="A610" s="329"/>
      <c r="B610" s="321"/>
      <c r="C610" s="330"/>
      <c r="D610" s="308" t="s">
        <v>32</v>
      </c>
      <c r="E610" s="316">
        <v>399890.08</v>
      </c>
      <c r="F610" s="297"/>
    </row>
    <row r="611" spans="1:6" ht="16.95" customHeight="1" x14ac:dyDescent="0.25">
      <c r="A611" s="329"/>
      <c r="B611" s="321"/>
      <c r="C611" s="330"/>
      <c r="D611" s="308" t="s">
        <v>18</v>
      </c>
      <c r="E611" s="316">
        <v>8857024.1300000008</v>
      </c>
      <c r="F611" s="297"/>
    </row>
    <row r="612" spans="1:6" ht="16.95" customHeight="1" x14ac:dyDescent="0.25">
      <c r="A612" s="329">
        <v>178</v>
      </c>
      <c r="B612" s="321" t="s">
        <v>119</v>
      </c>
      <c r="C612" s="330">
        <v>72</v>
      </c>
      <c r="D612" s="308" t="s">
        <v>22</v>
      </c>
      <c r="E612" s="316">
        <v>7131453.7199999997</v>
      </c>
      <c r="F612" s="297"/>
    </row>
    <row r="613" spans="1:6" ht="16.95" customHeight="1" x14ac:dyDescent="0.25">
      <c r="A613" s="329"/>
      <c r="B613" s="321"/>
      <c r="C613" s="330"/>
      <c r="D613" s="308" t="s">
        <v>16</v>
      </c>
      <c r="E613" s="316">
        <v>5554247.3499999996</v>
      </c>
      <c r="F613" s="297"/>
    </row>
    <row r="614" spans="1:6" ht="16.95" customHeight="1" x14ac:dyDescent="0.25">
      <c r="A614" s="329"/>
      <c r="B614" s="321"/>
      <c r="C614" s="330"/>
      <c r="D614" s="308" t="s">
        <v>32</v>
      </c>
      <c r="E614" s="316">
        <v>599835.12</v>
      </c>
      <c r="F614" s="297"/>
    </row>
    <row r="615" spans="1:6" ht="16.95" customHeight="1" x14ac:dyDescent="0.25">
      <c r="A615" s="329"/>
      <c r="B615" s="321"/>
      <c r="C615" s="330"/>
      <c r="D615" s="308" t="s">
        <v>18</v>
      </c>
      <c r="E615" s="316">
        <v>13285536.189999999</v>
      </c>
      <c r="F615" s="297"/>
    </row>
    <row r="616" spans="1:6" ht="16.95" customHeight="1" x14ac:dyDescent="0.25">
      <c r="A616" s="329">
        <v>179</v>
      </c>
      <c r="B616" s="321" t="s">
        <v>119</v>
      </c>
      <c r="C616" s="330">
        <v>74</v>
      </c>
      <c r="D616" s="308" t="s">
        <v>22</v>
      </c>
      <c r="E616" s="316">
        <v>11885756.199999999</v>
      </c>
      <c r="F616" s="297"/>
    </row>
    <row r="617" spans="1:6" ht="16.95" customHeight="1" x14ac:dyDescent="0.25">
      <c r="A617" s="329"/>
      <c r="B617" s="321"/>
      <c r="C617" s="330"/>
      <c r="D617" s="308" t="s">
        <v>16</v>
      </c>
      <c r="E617" s="316">
        <v>9257078.9199999999</v>
      </c>
      <c r="F617" s="297"/>
    </row>
    <row r="618" spans="1:6" ht="16.95" customHeight="1" x14ac:dyDescent="0.25">
      <c r="A618" s="329"/>
      <c r="B618" s="321"/>
      <c r="C618" s="330"/>
      <c r="D618" s="308" t="s">
        <v>32</v>
      </c>
      <c r="E618" s="316">
        <v>999725.2</v>
      </c>
      <c r="F618" s="297"/>
    </row>
    <row r="619" spans="1:6" ht="16.95" customHeight="1" x14ac:dyDescent="0.25">
      <c r="A619" s="329"/>
      <c r="B619" s="321"/>
      <c r="C619" s="330"/>
      <c r="D619" s="308" t="s">
        <v>18</v>
      </c>
      <c r="E619" s="316">
        <v>22142560.32</v>
      </c>
      <c r="F619" s="297"/>
    </row>
    <row r="620" spans="1:6" ht="16.95" customHeight="1" x14ac:dyDescent="0.25">
      <c r="A620" s="329">
        <v>180</v>
      </c>
      <c r="B620" s="321" t="s">
        <v>119</v>
      </c>
      <c r="C620" s="330">
        <v>82</v>
      </c>
      <c r="D620" s="308" t="s">
        <v>22</v>
      </c>
      <c r="E620" s="316">
        <v>7131453.7199999997</v>
      </c>
      <c r="F620" s="297"/>
    </row>
    <row r="621" spans="1:6" ht="16.95" customHeight="1" x14ac:dyDescent="0.25">
      <c r="A621" s="329"/>
      <c r="B621" s="321"/>
      <c r="C621" s="330"/>
      <c r="D621" s="308" t="s">
        <v>16</v>
      </c>
      <c r="E621" s="316">
        <v>5554247.3499999996</v>
      </c>
      <c r="F621" s="297"/>
    </row>
    <row r="622" spans="1:6" ht="16.95" customHeight="1" x14ac:dyDescent="0.25">
      <c r="A622" s="329"/>
      <c r="B622" s="321"/>
      <c r="C622" s="330"/>
      <c r="D622" s="308" t="s">
        <v>32</v>
      </c>
      <c r="E622" s="316">
        <v>599835.12</v>
      </c>
      <c r="F622" s="297"/>
    </row>
    <row r="623" spans="1:6" ht="16.95" customHeight="1" x14ac:dyDescent="0.25">
      <c r="A623" s="329"/>
      <c r="B623" s="321"/>
      <c r="C623" s="330"/>
      <c r="D623" s="308" t="s">
        <v>18</v>
      </c>
      <c r="E623" s="316">
        <v>13285536.189999999</v>
      </c>
      <c r="F623" s="297"/>
    </row>
    <row r="624" spans="1:6" ht="16.95" customHeight="1" x14ac:dyDescent="0.25">
      <c r="A624" s="329">
        <v>181</v>
      </c>
      <c r="B624" s="321" t="s">
        <v>127</v>
      </c>
      <c r="C624" s="330">
        <v>6</v>
      </c>
      <c r="D624" s="308" t="s">
        <v>24</v>
      </c>
      <c r="E624" s="316">
        <v>9197335.9399999995</v>
      </c>
      <c r="F624" s="297"/>
    </row>
    <row r="625" spans="1:6" ht="16.95" customHeight="1" x14ac:dyDescent="0.25">
      <c r="A625" s="329"/>
      <c r="B625" s="321"/>
      <c r="C625" s="330"/>
      <c r="D625" s="308" t="s">
        <v>17</v>
      </c>
      <c r="E625" s="316">
        <v>543684.88</v>
      </c>
      <c r="F625" s="297"/>
    </row>
    <row r="626" spans="1:6" ht="16.95" customHeight="1" x14ac:dyDescent="0.25">
      <c r="A626" s="329"/>
      <c r="B626" s="321"/>
      <c r="C626" s="330"/>
      <c r="D626" s="308" t="s">
        <v>18</v>
      </c>
      <c r="E626" s="316">
        <v>9741020.8200000003</v>
      </c>
      <c r="F626" s="297"/>
    </row>
    <row r="627" spans="1:6" ht="16.95" customHeight="1" x14ac:dyDescent="0.25">
      <c r="A627" s="329">
        <v>182</v>
      </c>
      <c r="B627" s="321" t="s">
        <v>128</v>
      </c>
      <c r="C627" s="330">
        <v>9</v>
      </c>
      <c r="D627" s="308" t="s">
        <v>129</v>
      </c>
      <c r="E627" s="316">
        <v>2933294.07</v>
      </c>
      <c r="F627" s="297"/>
    </row>
    <row r="628" spans="1:6" ht="16.95" customHeight="1" x14ac:dyDescent="0.25">
      <c r="A628" s="329"/>
      <c r="B628" s="321"/>
      <c r="C628" s="330"/>
      <c r="D628" s="308" t="s">
        <v>32</v>
      </c>
      <c r="E628" s="316">
        <v>7014.9</v>
      </c>
      <c r="F628" s="297"/>
    </row>
    <row r="629" spans="1:6" ht="16.95" customHeight="1" x14ac:dyDescent="0.25">
      <c r="A629" s="329"/>
      <c r="B629" s="321"/>
      <c r="C629" s="330"/>
      <c r="D629" s="308" t="s">
        <v>18</v>
      </c>
      <c r="E629" s="316">
        <v>2940308.97</v>
      </c>
      <c r="F629" s="297"/>
    </row>
    <row r="630" spans="1:6" ht="16.95" customHeight="1" x14ac:dyDescent="0.25">
      <c r="A630" s="326">
        <v>183</v>
      </c>
      <c r="B630" s="323" t="s">
        <v>130</v>
      </c>
      <c r="C630" s="319">
        <v>6</v>
      </c>
      <c r="D630" s="308" t="s">
        <v>24</v>
      </c>
      <c r="E630" s="316">
        <v>7373778.3099999996</v>
      </c>
      <c r="F630" s="297"/>
    </row>
    <row r="631" spans="1:6" ht="16.95" customHeight="1" x14ac:dyDescent="0.25">
      <c r="A631" s="327"/>
      <c r="B631" s="324"/>
      <c r="C631" s="322"/>
      <c r="D631" s="308" t="s">
        <v>32</v>
      </c>
      <c r="E631" s="316">
        <v>310356.7</v>
      </c>
      <c r="F631" s="297"/>
    </row>
    <row r="632" spans="1:6" ht="16.95" customHeight="1" x14ac:dyDescent="0.25">
      <c r="A632" s="328"/>
      <c r="B632" s="325"/>
      <c r="C632" s="320"/>
      <c r="D632" s="308" t="s">
        <v>18</v>
      </c>
      <c r="E632" s="316">
        <v>7684135.0099999998</v>
      </c>
      <c r="F632" s="297"/>
    </row>
    <row r="633" spans="1:6" ht="16.95" customHeight="1" x14ac:dyDescent="0.25">
      <c r="A633" s="329">
        <v>184</v>
      </c>
      <c r="B633" s="321" t="s">
        <v>131</v>
      </c>
      <c r="C633" s="330" t="s">
        <v>132</v>
      </c>
      <c r="D633" s="308" t="s">
        <v>22</v>
      </c>
      <c r="E633" s="316">
        <v>7131453.7199999997</v>
      </c>
      <c r="F633" s="297"/>
    </row>
    <row r="634" spans="1:6" ht="16.95" customHeight="1" x14ac:dyDescent="0.25">
      <c r="A634" s="329"/>
      <c r="B634" s="321"/>
      <c r="C634" s="330"/>
      <c r="D634" s="308" t="s">
        <v>32</v>
      </c>
      <c r="E634" s="316">
        <v>372000</v>
      </c>
      <c r="F634" s="297"/>
    </row>
    <row r="635" spans="1:6" ht="18" customHeight="1" x14ac:dyDescent="0.25">
      <c r="A635" s="315">
        <v>1</v>
      </c>
      <c r="B635" s="314">
        <v>2</v>
      </c>
      <c r="C635" s="314">
        <v>3</v>
      </c>
      <c r="D635" s="315">
        <v>4</v>
      </c>
      <c r="E635" s="299">
        <v>5</v>
      </c>
      <c r="F635" s="297"/>
    </row>
    <row r="636" spans="1:6" ht="16.95" customHeight="1" x14ac:dyDescent="0.25">
      <c r="A636" s="301"/>
      <c r="B636" s="288"/>
      <c r="C636" s="288"/>
      <c r="D636" s="308" t="s">
        <v>18</v>
      </c>
      <c r="E636" s="316">
        <v>7503453.7199999997</v>
      </c>
      <c r="F636" s="297"/>
    </row>
    <row r="637" spans="1:6" ht="16.95" customHeight="1" x14ac:dyDescent="0.25">
      <c r="A637" s="329">
        <v>185</v>
      </c>
      <c r="B637" s="321" t="s">
        <v>133</v>
      </c>
      <c r="C637" s="330">
        <v>1</v>
      </c>
      <c r="D637" s="308" t="s">
        <v>24</v>
      </c>
      <c r="E637" s="316">
        <v>11643967.220000001</v>
      </c>
      <c r="F637" s="297"/>
    </row>
    <row r="638" spans="1:6" ht="16.95" customHeight="1" x14ac:dyDescent="0.25">
      <c r="A638" s="329"/>
      <c r="B638" s="321"/>
      <c r="C638" s="330"/>
      <c r="D638" s="308" t="s">
        <v>32</v>
      </c>
      <c r="E638" s="316">
        <v>486116.38</v>
      </c>
      <c r="F638" s="297"/>
    </row>
    <row r="639" spans="1:6" ht="16.95" customHeight="1" x14ac:dyDescent="0.25">
      <c r="A639" s="329"/>
      <c r="B639" s="321"/>
      <c r="C639" s="330"/>
      <c r="D639" s="308" t="s">
        <v>18</v>
      </c>
      <c r="E639" s="316">
        <v>12130083.6</v>
      </c>
      <c r="F639" s="297"/>
    </row>
    <row r="640" spans="1:6" ht="16.95" customHeight="1" x14ac:dyDescent="0.25">
      <c r="A640" s="329">
        <v>186</v>
      </c>
      <c r="B640" s="321" t="s">
        <v>133</v>
      </c>
      <c r="C640" s="330">
        <v>3</v>
      </c>
      <c r="D640" s="308" t="s">
        <v>24</v>
      </c>
      <c r="E640" s="316">
        <v>40562734.329999998</v>
      </c>
      <c r="F640" s="297"/>
    </row>
    <row r="641" spans="1:6" ht="16.95" customHeight="1" x14ac:dyDescent="0.25">
      <c r="A641" s="329"/>
      <c r="B641" s="321"/>
      <c r="C641" s="330"/>
      <c r="D641" s="308" t="s">
        <v>32</v>
      </c>
      <c r="E641" s="316">
        <v>2327236.1</v>
      </c>
      <c r="F641" s="297"/>
    </row>
    <row r="642" spans="1:6" ht="16.95" customHeight="1" x14ac:dyDescent="0.25">
      <c r="A642" s="329"/>
      <c r="B642" s="321"/>
      <c r="C642" s="330"/>
      <c r="D642" s="308" t="s">
        <v>18</v>
      </c>
      <c r="E642" s="316">
        <v>42889970.43</v>
      </c>
      <c r="F642" s="297"/>
    </row>
    <row r="643" spans="1:6" ht="16.95" customHeight="1" x14ac:dyDescent="0.25">
      <c r="A643" s="329">
        <v>187</v>
      </c>
      <c r="B643" s="321" t="s">
        <v>134</v>
      </c>
      <c r="C643" s="330">
        <v>19</v>
      </c>
      <c r="D643" s="308" t="s">
        <v>31</v>
      </c>
      <c r="E643" s="316">
        <v>6280782.7699999996</v>
      </c>
      <c r="F643" s="297"/>
    </row>
    <row r="644" spans="1:6" ht="16.95" customHeight="1" x14ac:dyDescent="0.25">
      <c r="A644" s="329"/>
      <c r="B644" s="321"/>
      <c r="C644" s="330"/>
      <c r="D644" s="308" t="s">
        <v>18</v>
      </c>
      <c r="E644" s="316">
        <v>6280782.7699999996</v>
      </c>
      <c r="F644" s="297"/>
    </row>
    <row r="645" spans="1:6" ht="16.95" customHeight="1" x14ac:dyDescent="0.25">
      <c r="A645" s="329">
        <v>188</v>
      </c>
      <c r="B645" s="321" t="s">
        <v>134</v>
      </c>
      <c r="C645" s="336" t="s">
        <v>135</v>
      </c>
      <c r="D645" s="308" t="s">
        <v>31</v>
      </c>
      <c r="E645" s="316">
        <v>7432827.1299999999</v>
      </c>
      <c r="F645" s="297"/>
    </row>
    <row r="646" spans="1:6" ht="16.95" customHeight="1" x14ac:dyDescent="0.25">
      <c r="A646" s="329"/>
      <c r="B646" s="321"/>
      <c r="C646" s="336"/>
      <c r="D646" s="308" t="s">
        <v>17</v>
      </c>
      <c r="E646" s="316">
        <v>619835.74</v>
      </c>
      <c r="F646" s="297"/>
    </row>
    <row r="647" spans="1:6" ht="16.95" customHeight="1" x14ac:dyDescent="0.25">
      <c r="A647" s="329"/>
      <c r="B647" s="321"/>
      <c r="C647" s="336"/>
      <c r="D647" s="308" t="s">
        <v>18</v>
      </c>
      <c r="E647" s="316">
        <v>8052662.8700000001</v>
      </c>
      <c r="F647" s="297"/>
    </row>
    <row r="648" spans="1:6" ht="16.95" customHeight="1" x14ac:dyDescent="0.25">
      <c r="A648" s="329">
        <v>189</v>
      </c>
      <c r="B648" s="321" t="s">
        <v>136</v>
      </c>
      <c r="C648" s="330" t="s">
        <v>137</v>
      </c>
      <c r="D648" s="308" t="s">
        <v>24</v>
      </c>
      <c r="E648" s="316">
        <v>15206067.59</v>
      </c>
      <c r="F648" s="297"/>
    </row>
    <row r="649" spans="1:6" ht="16.95" customHeight="1" x14ac:dyDescent="0.25">
      <c r="A649" s="329"/>
      <c r="B649" s="321"/>
      <c r="C649" s="330"/>
      <c r="D649" s="308" t="s">
        <v>32</v>
      </c>
      <c r="E649" s="316">
        <v>852955.1</v>
      </c>
      <c r="F649" s="297"/>
    </row>
    <row r="650" spans="1:6" ht="16.95" customHeight="1" x14ac:dyDescent="0.25">
      <c r="A650" s="329"/>
      <c r="B650" s="321"/>
      <c r="C650" s="330"/>
      <c r="D650" s="308" t="s">
        <v>18</v>
      </c>
      <c r="E650" s="316">
        <v>16059022.689999999</v>
      </c>
      <c r="F650" s="297"/>
    </row>
    <row r="651" spans="1:6" ht="16.95" customHeight="1" x14ac:dyDescent="0.25">
      <c r="A651" s="329">
        <v>190</v>
      </c>
      <c r="B651" s="321" t="s">
        <v>136</v>
      </c>
      <c r="C651" s="330">
        <v>35</v>
      </c>
      <c r="D651" s="308" t="s">
        <v>31</v>
      </c>
      <c r="E651" s="316">
        <v>4369840.8</v>
      </c>
      <c r="F651" s="297"/>
    </row>
    <row r="652" spans="1:6" ht="16.95" customHeight="1" x14ac:dyDescent="0.25">
      <c r="A652" s="329"/>
      <c r="B652" s="321"/>
      <c r="C652" s="330"/>
      <c r="D652" s="308" t="s">
        <v>32</v>
      </c>
      <c r="E652" s="316">
        <v>258315.71</v>
      </c>
      <c r="F652" s="297"/>
    </row>
    <row r="653" spans="1:6" ht="16.95" customHeight="1" x14ac:dyDescent="0.25">
      <c r="A653" s="329"/>
      <c r="B653" s="321"/>
      <c r="C653" s="330"/>
      <c r="D653" s="308" t="s">
        <v>18</v>
      </c>
      <c r="E653" s="316">
        <v>4628156.51</v>
      </c>
      <c r="F653" s="297"/>
    </row>
    <row r="654" spans="1:6" ht="16.95" customHeight="1" x14ac:dyDescent="0.25">
      <c r="A654" s="329">
        <v>191</v>
      </c>
      <c r="B654" s="323" t="s">
        <v>138</v>
      </c>
      <c r="C654" s="319">
        <v>5</v>
      </c>
      <c r="D654" s="308" t="s">
        <v>22</v>
      </c>
      <c r="E654" s="282">
        <v>2377151.2400000002</v>
      </c>
      <c r="F654" s="297"/>
    </row>
    <row r="655" spans="1:6" ht="16.95" customHeight="1" x14ac:dyDescent="0.25">
      <c r="A655" s="329"/>
      <c r="B655" s="324"/>
      <c r="C655" s="322"/>
      <c r="D655" s="308" t="s">
        <v>24</v>
      </c>
      <c r="E655" s="280">
        <v>15132111.109999999</v>
      </c>
      <c r="F655" s="297"/>
    </row>
    <row r="656" spans="1:6" ht="16.95" customHeight="1" x14ac:dyDescent="0.25">
      <c r="A656" s="329"/>
      <c r="B656" s="324"/>
      <c r="C656" s="322"/>
      <c r="D656" s="308" t="s">
        <v>31</v>
      </c>
      <c r="E656" s="280">
        <v>20640142.640000001</v>
      </c>
      <c r="F656" s="297"/>
    </row>
    <row r="657" spans="1:6" ht="16.95" customHeight="1" x14ac:dyDescent="0.25">
      <c r="A657" s="329"/>
      <c r="B657" s="324"/>
      <c r="C657" s="322"/>
      <c r="D657" s="308" t="s">
        <v>17</v>
      </c>
      <c r="E657" s="280">
        <v>2591051.98</v>
      </c>
      <c r="F657" s="297"/>
    </row>
    <row r="658" spans="1:6" ht="16.95" customHeight="1" x14ac:dyDescent="0.25">
      <c r="A658" s="329"/>
      <c r="B658" s="325"/>
      <c r="C658" s="320"/>
      <c r="D658" s="308" t="s">
        <v>18</v>
      </c>
      <c r="E658" s="280">
        <v>40740456.969999999</v>
      </c>
      <c r="F658" s="297"/>
    </row>
    <row r="659" spans="1:6" ht="16.95" customHeight="1" x14ac:dyDescent="0.25">
      <c r="A659" s="326">
        <v>192</v>
      </c>
      <c r="B659" s="323" t="s">
        <v>138</v>
      </c>
      <c r="C659" s="319">
        <v>7</v>
      </c>
      <c r="D659" s="308" t="s">
        <v>22</v>
      </c>
      <c r="E659" s="282">
        <v>2377151.2400000002</v>
      </c>
      <c r="F659" s="297"/>
    </row>
    <row r="660" spans="1:6" ht="16.95" customHeight="1" x14ac:dyDescent="0.25">
      <c r="A660" s="327"/>
      <c r="B660" s="324"/>
      <c r="C660" s="322"/>
      <c r="D660" s="308" t="s">
        <v>24</v>
      </c>
      <c r="E660" s="280">
        <v>12804094.01</v>
      </c>
      <c r="F660" s="297"/>
    </row>
    <row r="661" spans="1:6" ht="16.95" customHeight="1" x14ac:dyDescent="0.25">
      <c r="A661" s="327"/>
      <c r="B661" s="324"/>
      <c r="C661" s="322"/>
      <c r="D661" s="308" t="s">
        <v>31</v>
      </c>
      <c r="E661" s="280">
        <v>18617829.530000001</v>
      </c>
      <c r="F661" s="297"/>
    </row>
    <row r="662" spans="1:6" ht="16.95" customHeight="1" x14ac:dyDescent="0.25">
      <c r="A662" s="327"/>
      <c r="B662" s="324"/>
      <c r="C662" s="322"/>
      <c r="D662" s="308" t="s">
        <v>17</v>
      </c>
      <c r="E662" s="280">
        <v>2291029.21</v>
      </c>
      <c r="F662" s="297"/>
    </row>
    <row r="663" spans="1:6" ht="16.95" customHeight="1" x14ac:dyDescent="0.25">
      <c r="A663" s="328"/>
      <c r="B663" s="325"/>
      <c r="C663" s="320"/>
      <c r="D663" s="308" t="s">
        <v>18</v>
      </c>
      <c r="E663" s="280">
        <v>36090103.990000002</v>
      </c>
      <c r="F663" s="297"/>
    </row>
    <row r="664" spans="1:6" ht="18.600000000000001" customHeight="1" x14ac:dyDescent="0.25">
      <c r="A664" s="315">
        <v>1</v>
      </c>
      <c r="B664" s="314">
        <v>2</v>
      </c>
      <c r="C664" s="314">
        <v>3</v>
      </c>
      <c r="D664" s="315">
        <v>4</v>
      </c>
      <c r="E664" s="299">
        <v>5</v>
      </c>
      <c r="F664" s="297"/>
    </row>
    <row r="665" spans="1:6" ht="16.95" customHeight="1" x14ac:dyDescent="0.25">
      <c r="A665" s="329">
        <v>193</v>
      </c>
      <c r="B665" s="323" t="s">
        <v>138</v>
      </c>
      <c r="C665" s="319">
        <v>8</v>
      </c>
      <c r="D665" s="308" t="s">
        <v>24</v>
      </c>
      <c r="E665" s="282">
        <v>11503615.5</v>
      </c>
      <c r="F665" s="297"/>
    </row>
    <row r="666" spans="1:6" ht="16.95" customHeight="1" x14ac:dyDescent="0.25">
      <c r="A666" s="329"/>
      <c r="B666" s="324"/>
      <c r="C666" s="322"/>
      <c r="D666" s="308" t="s">
        <v>31</v>
      </c>
      <c r="E666" s="282">
        <v>15785947.65</v>
      </c>
      <c r="F666" s="297"/>
    </row>
    <row r="667" spans="1:6" ht="16.95" customHeight="1" x14ac:dyDescent="0.25">
      <c r="A667" s="329"/>
      <c r="B667" s="324"/>
      <c r="C667" s="322"/>
      <c r="D667" s="308" t="s">
        <v>32</v>
      </c>
      <c r="E667" s="282">
        <v>1882038.83</v>
      </c>
      <c r="F667" s="297"/>
    </row>
    <row r="668" spans="1:6" ht="16.95" customHeight="1" x14ac:dyDescent="0.25">
      <c r="A668" s="329"/>
      <c r="B668" s="325"/>
      <c r="C668" s="320"/>
      <c r="D668" s="308" t="s">
        <v>18</v>
      </c>
      <c r="E668" s="280">
        <v>29171601.979999997</v>
      </c>
      <c r="F668" s="297"/>
    </row>
    <row r="669" spans="1:6" ht="16.95" customHeight="1" x14ac:dyDescent="0.25">
      <c r="A669" s="326">
        <v>194</v>
      </c>
      <c r="B669" s="323" t="s">
        <v>138</v>
      </c>
      <c r="C669" s="319">
        <v>9</v>
      </c>
      <c r="D669" s="308" t="s">
        <v>22</v>
      </c>
      <c r="E669" s="282">
        <v>2377151.2400000002</v>
      </c>
      <c r="F669" s="297"/>
    </row>
    <row r="670" spans="1:6" ht="16.95" customHeight="1" x14ac:dyDescent="0.25">
      <c r="A670" s="327"/>
      <c r="B670" s="324"/>
      <c r="C670" s="322"/>
      <c r="D670" s="308" t="s">
        <v>17</v>
      </c>
      <c r="E670" s="282">
        <v>124000</v>
      </c>
      <c r="F670" s="297"/>
    </row>
    <row r="671" spans="1:6" ht="16.95" customHeight="1" x14ac:dyDescent="0.25">
      <c r="A671" s="328"/>
      <c r="B671" s="325"/>
      <c r="C671" s="320"/>
      <c r="D671" s="308" t="s">
        <v>18</v>
      </c>
      <c r="E671" s="282">
        <v>2501151.2400000002</v>
      </c>
      <c r="F671" s="297"/>
    </row>
    <row r="672" spans="1:6" ht="16.95" customHeight="1" x14ac:dyDescent="0.25">
      <c r="A672" s="326">
        <v>195</v>
      </c>
      <c r="B672" s="323" t="s">
        <v>138</v>
      </c>
      <c r="C672" s="319">
        <v>11</v>
      </c>
      <c r="D672" s="308" t="s">
        <v>22</v>
      </c>
      <c r="E672" s="282">
        <v>2377151.2400000002</v>
      </c>
      <c r="F672" s="297"/>
    </row>
    <row r="673" spans="1:6" ht="16.95" customHeight="1" x14ac:dyDescent="0.25">
      <c r="A673" s="327"/>
      <c r="B673" s="324"/>
      <c r="C673" s="322"/>
      <c r="D673" s="308" t="s">
        <v>17</v>
      </c>
      <c r="E673" s="282">
        <v>124000</v>
      </c>
      <c r="F673" s="297"/>
    </row>
    <row r="674" spans="1:6" ht="16.95" customHeight="1" x14ac:dyDescent="0.25">
      <c r="A674" s="328"/>
      <c r="B674" s="325"/>
      <c r="C674" s="320"/>
      <c r="D674" s="308" t="s">
        <v>18</v>
      </c>
      <c r="E674" s="282">
        <v>2501151.2400000002</v>
      </c>
      <c r="F674" s="297"/>
    </row>
    <row r="675" spans="1:6" ht="16.95" customHeight="1" x14ac:dyDescent="0.25">
      <c r="A675" s="329">
        <v>196</v>
      </c>
      <c r="B675" s="323" t="s">
        <v>138</v>
      </c>
      <c r="C675" s="319">
        <v>13</v>
      </c>
      <c r="D675" s="308" t="s">
        <v>22</v>
      </c>
      <c r="E675" s="282">
        <v>2377151.2400000002</v>
      </c>
      <c r="F675" s="297"/>
    </row>
    <row r="676" spans="1:6" ht="16.95" customHeight="1" x14ac:dyDescent="0.25">
      <c r="A676" s="329"/>
      <c r="B676" s="324"/>
      <c r="C676" s="322"/>
      <c r="D676" s="308" t="s">
        <v>24</v>
      </c>
      <c r="E676" s="282">
        <v>15132111.109999999</v>
      </c>
      <c r="F676" s="297"/>
    </row>
    <row r="677" spans="1:6" ht="16.95" customHeight="1" x14ac:dyDescent="0.25">
      <c r="A677" s="329"/>
      <c r="B677" s="324"/>
      <c r="C677" s="322"/>
      <c r="D677" s="308" t="s">
        <v>33</v>
      </c>
      <c r="E677" s="282">
        <v>19776195.030000001</v>
      </c>
      <c r="F677" s="297"/>
    </row>
    <row r="678" spans="1:6" ht="16.95" customHeight="1" x14ac:dyDescent="0.25">
      <c r="A678" s="329"/>
      <c r="B678" s="324"/>
      <c r="C678" s="322"/>
      <c r="D678" s="308" t="s">
        <v>17</v>
      </c>
      <c r="E678" s="282">
        <v>2531469.39</v>
      </c>
      <c r="F678" s="297"/>
    </row>
    <row r="679" spans="1:6" ht="16.95" customHeight="1" x14ac:dyDescent="0.25">
      <c r="A679" s="329"/>
      <c r="B679" s="325"/>
      <c r="C679" s="320"/>
      <c r="D679" s="308" t="s">
        <v>18</v>
      </c>
      <c r="E679" s="282">
        <v>39816926.770000003</v>
      </c>
      <c r="F679" s="297"/>
    </row>
    <row r="680" spans="1:6" ht="16.95" customHeight="1" x14ac:dyDescent="0.25">
      <c r="A680" s="329">
        <v>197</v>
      </c>
      <c r="B680" s="323" t="s">
        <v>138</v>
      </c>
      <c r="C680" s="319">
        <v>15</v>
      </c>
      <c r="D680" s="308" t="s">
        <v>22</v>
      </c>
      <c r="E680" s="282">
        <v>2377151.2400000002</v>
      </c>
      <c r="F680" s="297"/>
    </row>
    <row r="681" spans="1:6" ht="16.95" customHeight="1" x14ac:dyDescent="0.25">
      <c r="A681" s="329"/>
      <c r="B681" s="324"/>
      <c r="C681" s="322"/>
      <c r="D681" s="308" t="s">
        <v>17</v>
      </c>
      <c r="E681" s="282">
        <v>124000</v>
      </c>
      <c r="F681" s="297"/>
    </row>
    <row r="682" spans="1:6" ht="16.95" customHeight="1" x14ac:dyDescent="0.25">
      <c r="A682" s="329"/>
      <c r="B682" s="325"/>
      <c r="C682" s="320"/>
      <c r="D682" s="308" t="s">
        <v>18</v>
      </c>
      <c r="E682" s="282">
        <v>2501151.2400000002</v>
      </c>
      <c r="F682" s="297"/>
    </row>
    <row r="683" spans="1:6" ht="16.95" customHeight="1" x14ac:dyDescent="0.25">
      <c r="A683" s="329">
        <v>198</v>
      </c>
      <c r="B683" s="323" t="s">
        <v>138</v>
      </c>
      <c r="C683" s="319">
        <v>17</v>
      </c>
      <c r="D683" s="308" t="s">
        <v>22</v>
      </c>
      <c r="E683" s="282">
        <v>2377151.2400000002</v>
      </c>
      <c r="F683" s="297"/>
    </row>
    <row r="684" spans="1:6" ht="16.95" customHeight="1" x14ac:dyDescent="0.25">
      <c r="A684" s="329"/>
      <c r="B684" s="324"/>
      <c r="C684" s="322"/>
      <c r="D684" s="308" t="s">
        <v>17</v>
      </c>
      <c r="E684" s="282">
        <v>124000</v>
      </c>
      <c r="F684" s="297"/>
    </row>
    <row r="685" spans="1:6" ht="16.95" customHeight="1" x14ac:dyDescent="0.25">
      <c r="A685" s="329"/>
      <c r="B685" s="325"/>
      <c r="C685" s="320"/>
      <c r="D685" s="308" t="s">
        <v>18</v>
      </c>
      <c r="E685" s="282">
        <v>2501151.2400000002</v>
      </c>
      <c r="F685" s="297"/>
    </row>
    <row r="686" spans="1:6" ht="16.95" customHeight="1" x14ac:dyDescent="0.25">
      <c r="A686" s="329">
        <v>199</v>
      </c>
      <c r="B686" s="323" t="s">
        <v>138</v>
      </c>
      <c r="C686" s="319">
        <v>19</v>
      </c>
      <c r="D686" s="308" t="s">
        <v>22</v>
      </c>
      <c r="E686" s="282">
        <v>2377151.2400000002</v>
      </c>
      <c r="F686" s="297"/>
    </row>
    <row r="687" spans="1:6" ht="16.95" customHeight="1" x14ac:dyDescent="0.25">
      <c r="A687" s="329"/>
      <c r="B687" s="324"/>
      <c r="C687" s="322"/>
      <c r="D687" s="308" t="s">
        <v>17</v>
      </c>
      <c r="E687" s="282">
        <v>124000</v>
      </c>
      <c r="F687" s="297"/>
    </row>
    <row r="688" spans="1:6" ht="16.95" customHeight="1" x14ac:dyDescent="0.25">
      <c r="A688" s="329"/>
      <c r="B688" s="325"/>
      <c r="C688" s="320"/>
      <c r="D688" s="308" t="s">
        <v>18</v>
      </c>
      <c r="E688" s="282">
        <v>2501151.2400000002</v>
      </c>
      <c r="F688" s="297"/>
    </row>
    <row r="689" spans="1:6" ht="16.95" customHeight="1" x14ac:dyDescent="0.25">
      <c r="A689" s="329">
        <v>200</v>
      </c>
      <c r="B689" s="321" t="s">
        <v>138</v>
      </c>
      <c r="C689" s="330">
        <v>21</v>
      </c>
      <c r="D689" s="308" t="s">
        <v>22</v>
      </c>
      <c r="E689" s="282">
        <v>2377151.2400000002</v>
      </c>
      <c r="F689" s="297"/>
    </row>
    <row r="690" spans="1:6" ht="16.95" customHeight="1" x14ac:dyDescent="0.25">
      <c r="A690" s="329"/>
      <c r="B690" s="321"/>
      <c r="C690" s="330"/>
      <c r="D690" s="308" t="s">
        <v>24</v>
      </c>
      <c r="E690" s="280">
        <v>14911858.550000001</v>
      </c>
      <c r="F690" s="297"/>
    </row>
    <row r="691" spans="1:6" ht="16.95" customHeight="1" x14ac:dyDescent="0.25">
      <c r="A691" s="329"/>
      <c r="B691" s="321"/>
      <c r="C691" s="330"/>
      <c r="D691" s="308" t="s">
        <v>31</v>
      </c>
      <c r="E691" s="280">
        <v>13138817.699999999</v>
      </c>
      <c r="F691" s="297"/>
    </row>
    <row r="692" spans="1:6" ht="16.95" customHeight="1" x14ac:dyDescent="0.25">
      <c r="A692" s="329"/>
      <c r="B692" s="321"/>
      <c r="C692" s="330"/>
      <c r="D692" s="308" t="s">
        <v>17</v>
      </c>
      <c r="E692" s="280">
        <v>2058529.4</v>
      </c>
      <c r="F692" s="297"/>
    </row>
    <row r="693" spans="1:6" ht="19.8" customHeight="1" x14ac:dyDescent="0.25">
      <c r="A693" s="315">
        <v>1</v>
      </c>
      <c r="B693" s="314">
        <v>2</v>
      </c>
      <c r="C693" s="314">
        <v>3</v>
      </c>
      <c r="D693" s="315">
        <v>4</v>
      </c>
      <c r="E693" s="299">
        <v>5</v>
      </c>
      <c r="F693" s="297"/>
    </row>
    <row r="694" spans="1:6" ht="16.95" customHeight="1" x14ac:dyDescent="0.25">
      <c r="A694" s="301"/>
      <c r="B694" s="288"/>
      <c r="C694" s="288"/>
      <c r="D694" s="308" t="s">
        <v>18</v>
      </c>
      <c r="E694" s="282">
        <v>32486356.889999997</v>
      </c>
      <c r="F694" s="297"/>
    </row>
    <row r="695" spans="1:6" ht="16.95" customHeight="1" x14ac:dyDescent="0.25">
      <c r="A695" s="329">
        <v>201</v>
      </c>
      <c r="B695" s="323" t="s">
        <v>138</v>
      </c>
      <c r="C695" s="319">
        <v>23</v>
      </c>
      <c r="D695" s="308" t="s">
        <v>22</v>
      </c>
      <c r="E695" s="282">
        <v>2377151.2400000002</v>
      </c>
      <c r="F695" s="297"/>
    </row>
    <row r="696" spans="1:6" ht="16.95" customHeight="1" x14ac:dyDescent="0.25">
      <c r="A696" s="329"/>
      <c r="B696" s="324"/>
      <c r="C696" s="322"/>
      <c r="D696" s="308" t="s">
        <v>17</v>
      </c>
      <c r="E696" s="282">
        <v>124000</v>
      </c>
      <c r="F696" s="297"/>
    </row>
    <row r="697" spans="1:6" ht="16.95" customHeight="1" x14ac:dyDescent="0.25">
      <c r="A697" s="329"/>
      <c r="B697" s="325"/>
      <c r="C697" s="320"/>
      <c r="D697" s="308" t="s">
        <v>18</v>
      </c>
      <c r="E697" s="282">
        <v>2501151.2400000002</v>
      </c>
      <c r="F697" s="297"/>
    </row>
    <row r="698" spans="1:6" ht="16.95" customHeight="1" x14ac:dyDescent="0.25">
      <c r="A698" s="326">
        <v>202</v>
      </c>
      <c r="B698" s="323" t="s">
        <v>138</v>
      </c>
      <c r="C698" s="319">
        <v>24</v>
      </c>
      <c r="D698" s="308" t="s">
        <v>24</v>
      </c>
      <c r="E698" s="282">
        <v>14916020.07</v>
      </c>
      <c r="F698" s="297"/>
    </row>
    <row r="699" spans="1:6" ht="16.95" customHeight="1" x14ac:dyDescent="0.25">
      <c r="A699" s="327"/>
      <c r="B699" s="324"/>
      <c r="C699" s="322"/>
      <c r="D699" s="308" t="s">
        <v>31</v>
      </c>
      <c r="E699" s="282">
        <v>13142484.41</v>
      </c>
      <c r="F699" s="297"/>
    </row>
    <row r="700" spans="1:6" ht="16.95" customHeight="1" x14ac:dyDescent="0.25">
      <c r="A700" s="327"/>
      <c r="B700" s="324"/>
      <c r="C700" s="322"/>
      <c r="D700" s="308" t="s">
        <v>17</v>
      </c>
      <c r="E700" s="282">
        <v>1935069.28</v>
      </c>
      <c r="F700" s="297"/>
    </row>
    <row r="701" spans="1:6" ht="16.95" customHeight="1" x14ac:dyDescent="0.25">
      <c r="A701" s="328"/>
      <c r="B701" s="325"/>
      <c r="C701" s="320"/>
      <c r="D701" s="308" t="s">
        <v>18</v>
      </c>
      <c r="E701" s="282">
        <v>29993573.760000002</v>
      </c>
      <c r="F701" s="297"/>
    </row>
    <row r="702" spans="1:6" ht="16.95" customHeight="1" x14ac:dyDescent="0.25">
      <c r="A702" s="329">
        <v>203</v>
      </c>
      <c r="B702" s="323" t="s">
        <v>138</v>
      </c>
      <c r="C702" s="319">
        <v>25</v>
      </c>
      <c r="D702" s="308" t="s">
        <v>22</v>
      </c>
      <c r="E702" s="282">
        <v>2377151.2400000002</v>
      </c>
      <c r="F702" s="297"/>
    </row>
    <row r="703" spans="1:6" ht="16.95" customHeight="1" x14ac:dyDescent="0.25">
      <c r="A703" s="329"/>
      <c r="B703" s="324"/>
      <c r="C703" s="322"/>
      <c r="D703" s="308" t="s">
        <v>17</v>
      </c>
      <c r="E703" s="282">
        <v>124000</v>
      </c>
      <c r="F703" s="297"/>
    </row>
    <row r="704" spans="1:6" ht="16.95" customHeight="1" x14ac:dyDescent="0.25">
      <c r="A704" s="329"/>
      <c r="B704" s="325"/>
      <c r="C704" s="320"/>
      <c r="D704" s="308" t="s">
        <v>18</v>
      </c>
      <c r="E704" s="282">
        <v>2501151.2400000002</v>
      </c>
      <c r="F704" s="297"/>
    </row>
    <row r="705" spans="1:6" ht="16.95" customHeight="1" x14ac:dyDescent="0.25">
      <c r="A705" s="326">
        <v>204</v>
      </c>
      <c r="B705" s="323" t="s">
        <v>138</v>
      </c>
      <c r="C705" s="319">
        <v>27</v>
      </c>
      <c r="D705" s="308" t="s">
        <v>22</v>
      </c>
      <c r="E705" s="282">
        <v>2377151.2400000002</v>
      </c>
      <c r="F705" s="297"/>
    </row>
    <row r="706" spans="1:6" ht="16.95" customHeight="1" x14ac:dyDescent="0.25">
      <c r="A706" s="327"/>
      <c r="B706" s="324"/>
      <c r="C706" s="322"/>
      <c r="D706" s="308" t="s">
        <v>17</v>
      </c>
      <c r="E706" s="282">
        <v>124000</v>
      </c>
      <c r="F706" s="297"/>
    </row>
    <row r="707" spans="1:6" ht="16.95" customHeight="1" x14ac:dyDescent="0.25">
      <c r="A707" s="328"/>
      <c r="B707" s="325"/>
      <c r="C707" s="320"/>
      <c r="D707" s="308" t="s">
        <v>18</v>
      </c>
      <c r="E707" s="282">
        <v>2501151.2400000002</v>
      </c>
      <c r="F707" s="297"/>
    </row>
    <row r="708" spans="1:6" ht="16.95" customHeight="1" x14ac:dyDescent="0.25">
      <c r="A708" s="329">
        <v>205</v>
      </c>
      <c r="B708" s="323" t="s">
        <v>138</v>
      </c>
      <c r="C708" s="319">
        <v>29</v>
      </c>
      <c r="D708" s="308" t="s">
        <v>22</v>
      </c>
      <c r="E708" s="282">
        <v>2377151.2400000002</v>
      </c>
      <c r="F708" s="297"/>
    </row>
    <row r="709" spans="1:6" ht="16.95" customHeight="1" x14ac:dyDescent="0.25">
      <c r="A709" s="329"/>
      <c r="B709" s="324"/>
      <c r="C709" s="322"/>
      <c r="D709" s="308" t="s">
        <v>17</v>
      </c>
      <c r="E709" s="282">
        <v>124000</v>
      </c>
      <c r="F709" s="297"/>
    </row>
    <row r="710" spans="1:6" ht="16.95" customHeight="1" x14ac:dyDescent="0.25">
      <c r="A710" s="329"/>
      <c r="B710" s="325"/>
      <c r="C710" s="320"/>
      <c r="D710" s="308" t="s">
        <v>18</v>
      </c>
      <c r="E710" s="282">
        <v>2501151.2400000002</v>
      </c>
      <c r="F710" s="297"/>
    </row>
    <row r="711" spans="1:6" ht="16.95" customHeight="1" x14ac:dyDescent="0.25">
      <c r="A711" s="329">
        <v>206</v>
      </c>
      <c r="B711" s="323" t="s">
        <v>138</v>
      </c>
      <c r="C711" s="319" t="s">
        <v>139</v>
      </c>
      <c r="D711" s="308" t="s">
        <v>22</v>
      </c>
      <c r="E711" s="282">
        <v>2377151.2400000002</v>
      </c>
      <c r="F711" s="297"/>
    </row>
    <row r="712" spans="1:6" ht="16.95" customHeight="1" x14ac:dyDescent="0.25">
      <c r="A712" s="329"/>
      <c r="B712" s="324"/>
      <c r="C712" s="322"/>
      <c r="D712" s="308" t="s">
        <v>17</v>
      </c>
      <c r="E712" s="282">
        <v>124000</v>
      </c>
      <c r="F712" s="297"/>
    </row>
    <row r="713" spans="1:6" ht="16.95" customHeight="1" x14ac:dyDescent="0.25">
      <c r="A713" s="329"/>
      <c r="B713" s="325"/>
      <c r="C713" s="320"/>
      <c r="D713" s="308" t="s">
        <v>18</v>
      </c>
      <c r="E713" s="282">
        <v>2501151.2400000002</v>
      </c>
      <c r="F713" s="297"/>
    </row>
    <row r="714" spans="1:6" ht="16.95" customHeight="1" x14ac:dyDescent="0.25">
      <c r="A714" s="329">
        <v>207</v>
      </c>
      <c r="B714" s="323" t="s">
        <v>138</v>
      </c>
      <c r="C714" s="319" t="s">
        <v>140</v>
      </c>
      <c r="D714" s="308" t="s">
        <v>22</v>
      </c>
      <c r="E714" s="282">
        <v>2377151.2400000002</v>
      </c>
      <c r="F714" s="297"/>
    </row>
    <row r="715" spans="1:6" ht="16.95" customHeight="1" x14ac:dyDescent="0.25">
      <c r="A715" s="329"/>
      <c r="B715" s="324"/>
      <c r="C715" s="322"/>
      <c r="D715" s="308" t="s">
        <v>17</v>
      </c>
      <c r="E715" s="282">
        <v>124000</v>
      </c>
      <c r="F715" s="297"/>
    </row>
    <row r="716" spans="1:6" ht="16.95" customHeight="1" x14ac:dyDescent="0.25">
      <c r="A716" s="329"/>
      <c r="B716" s="325"/>
      <c r="C716" s="320"/>
      <c r="D716" s="308" t="s">
        <v>18</v>
      </c>
      <c r="E716" s="282">
        <v>2501151.2400000002</v>
      </c>
      <c r="F716" s="297"/>
    </row>
    <row r="717" spans="1:6" ht="16.95" customHeight="1" x14ac:dyDescent="0.25">
      <c r="A717" s="329">
        <v>208</v>
      </c>
      <c r="B717" s="323" t="s">
        <v>138</v>
      </c>
      <c r="C717" s="319" t="s">
        <v>141</v>
      </c>
      <c r="D717" s="308" t="s">
        <v>22</v>
      </c>
      <c r="E717" s="282">
        <v>2377151.2400000002</v>
      </c>
      <c r="F717" s="297"/>
    </row>
    <row r="718" spans="1:6" ht="16.95" customHeight="1" x14ac:dyDescent="0.25">
      <c r="A718" s="329"/>
      <c r="B718" s="324"/>
      <c r="C718" s="322"/>
      <c r="D718" s="308" t="s">
        <v>17</v>
      </c>
      <c r="E718" s="282">
        <v>124000</v>
      </c>
      <c r="F718" s="297"/>
    </row>
    <row r="719" spans="1:6" ht="16.95" customHeight="1" x14ac:dyDescent="0.25">
      <c r="A719" s="329"/>
      <c r="B719" s="325"/>
      <c r="C719" s="320"/>
      <c r="D719" s="308" t="s">
        <v>18</v>
      </c>
      <c r="E719" s="282">
        <v>2501151.2400000002</v>
      </c>
      <c r="F719" s="297"/>
    </row>
    <row r="720" spans="1:6" ht="16.95" customHeight="1" x14ac:dyDescent="0.25">
      <c r="A720" s="329">
        <v>209</v>
      </c>
      <c r="B720" s="321" t="s">
        <v>138</v>
      </c>
      <c r="C720" s="330">
        <v>33</v>
      </c>
      <c r="D720" s="308" t="s">
        <v>22</v>
      </c>
      <c r="E720" s="282">
        <v>2377151.2400000002</v>
      </c>
      <c r="F720" s="297"/>
    </row>
    <row r="721" spans="1:6" ht="16.95" customHeight="1" x14ac:dyDescent="0.25">
      <c r="A721" s="329"/>
      <c r="B721" s="321"/>
      <c r="C721" s="330"/>
      <c r="D721" s="308" t="s">
        <v>17</v>
      </c>
      <c r="E721" s="282">
        <v>124000</v>
      </c>
      <c r="F721" s="297"/>
    </row>
    <row r="722" spans="1:6" ht="17.399999999999999" customHeight="1" x14ac:dyDescent="0.25">
      <c r="A722" s="315">
        <v>1</v>
      </c>
      <c r="B722" s="314">
        <v>2</v>
      </c>
      <c r="C722" s="314">
        <v>3</v>
      </c>
      <c r="D722" s="315">
        <v>4</v>
      </c>
      <c r="E722" s="299">
        <v>5</v>
      </c>
      <c r="F722" s="297"/>
    </row>
    <row r="723" spans="1:6" ht="18.600000000000001" customHeight="1" x14ac:dyDescent="0.25">
      <c r="A723" s="301"/>
      <c r="B723" s="288"/>
      <c r="C723" s="288"/>
      <c r="D723" s="308" t="s">
        <v>18</v>
      </c>
      <c r="E723" s="282">
        <v>2501151.2400000002</v>
      </c>
      <c r="F723" s="297"/>
    </row>
    <row r="724" spans="1:6" ht="16.95" customHeight="1" x14ac:dyDescent="0.25">
      <c r="A724" s="329">
        <v>210</v>
      </c>
      <c r="B724" s="323" t="s">
        <v>138</v>
      </c>
      <c r="C724" s="319" t="s">
        <v>122</v>
      </c>
      <c r="D724" s="308" t="s">
        <v>22</v>
      </c>
      <c r="E724" s="282">
        <v>2377151.2400000002</v>
      </c>
      <c r="F724" s="297"/>
    </row>
    <row r="725" spans="1:6" ht="16.95" customHeight="1" x14ac:dyDescent="0.25">
      <c r="A725" s="329"/>
      <c r="B725" s="324"/>
      <c r="C725" s="322"/>
      <c r="D725" s="308" t="s">
        <v>17</v>
      </c>
      <c r="E725" s="282">
        <v>124000</v>
      </c>
      <c r="F725" s="297"/>
    </row>
    <row r="726" spans="1:6" ht="16.95" customHeight="1" x14ac:dyDescent="0.25">
      <c r="A726" s="329"/>
      <c r="B726" s="325"/>
      <c r="C726" s="320"/>
      <c r="D726" s="308" t="s">
        <v>18</v>
      </c>
      <c r="E726" s="282">
        <v>2501151.2400000002</v>
      </c>
      <c r="F726" s="297"/>
    </row>
    <row r="727" spans="1:6" ht="16.95" customHeight="1" x14ac:dyDescent="0.25">
      <c r="A727" s="329">
        <v>211</v>
      </c>
      <c r="B727" s="323" t="s">
        <v>138</v>
      </c>
      <c r="C727" s="319" t="s">
        <v>123</v>
      </c>
      <c r="D727" s="308" t="s">
        <v>22</v>
      </c>
      <c r="E727" s="282">
        <v>2377151.2400000002</v>
      </c>
      <c r="F727" s="297"/>
    </row>
    <row r="728" spans="1:6" ht="16.95" customHeight="1" x14ac:dyDescent="0.25">
      <c r="A728" s="329"/>
      <c r="B728" s="324"/>
      <c r="C728" s="322"/>
      <c r="D728" s="308" t="s">
        <v>17</v>
      </c>
      <c r="E728" s="282">
        <v>124000</v>
      </c>
      <c r="F728" s="297"/>
    </row>
    <row r="729" spans="1:6" ht="16.95" customHeight="1" x14ac:dyDescent="0.25">
      <c r="A729" s="329"/>
      <c r="B729" s="325"/>
      <c r="C729" s="320"/>
      <c r="D729" s="308" t="s">
        <v>18</v>
      </c>
      <c r="E729" s="282">
        <v>2501151.2400000002</v>
      </c>
      <c r="F729" s="297"/>
    </row>
    <row r="730" spans="1:6" ht="16.95" customHeight="1" x14ac:dyDescent="0.25">
      <c r="A730" s="329">
        <v>212</v>
      </c>
      <c r="B730" s="323" t="s">
        <v>138</v>
      </c>
      <c r="C730" s="319" t="s">
        <v>124</v>
      </c>
      <c r="D730" s="308" t="s">
        <v>22</v>
      </c>
      <c r="E730" s="282">
        <v>4754302.4800000004</v>
      </c>
      <c r="F730" s="297"/>
    </row>
    <row r="731" spans="1:6" ht="16.95" customHeight="1" x14ac:dyDescent="0.25">
      <c r="A731" s="329"/>
      <c r="B731" s="324"/>
      <c r="C731" s="322"/>
      <c r="D731" s="308" t="s">
        <v>17</v>
      </c>
      <c r="E731" s="282">
        <v>248000</v>
      </c>
      <c r="F731" s="297"/>
    </row>
    <row r="732" spans="1:6" ht="16.95" customHeight="1" x14ac:dyDescent="0.25">
      <c r="A732" s="329"/>
      <c r="B732" s="325"/>
      <c r="C732" s="320"/>
      <c r="D732" s="308" t="s">
        <v>18</v>
      </c>
      <c r="E732" s="282">
        <v>5002302.4800000004</v>
      </c>
      <c r="F732" s="297"/>
    </row>
    <row r="733" spans="1:6" ht="16.95" customHeight="1" x14ac:dyDescent="0.25">
      <c r="A733" s="326">
        <v>213</v>
      </c>
      <c r="B733" s="323" t="s">
        <v>138</v>
      </c>
      <c r="C733" s="319" t="s">
        <v>142</v>
      </c>
      <c r="D733" s="308" t="s">
        <v>26</v>
      </c>
      <c r="E733" s="316">
        <v>1706659.7</v>
      </c>
      <c r="F733" s="297"/>
    </row>
    <row r="734" spans="1:6" ht="16.95" customHeight="1" x14ac:dyDescent="0.25">
      <c r="A734" s="327"/>
      <c r="B734" s="324"/>
      <c r="C734" s="322"/>
      <c r="D734" s="308" t="s">
        <v>27</v>
      </c>
      <c r="E734" s="316">
        <v>9276640.5199999996</v>
      </c>
      <c r="F734" s="297"/>
    </row>
    <row r="735" spans="1:6" ht="16.95" customHeight="1" x14ac:dyDescent="0.25">
      <c r="A735" s="327"/>
      <c r="B735" s="324"/>
      <c r="C735" s="322"/>
      <c r="D735" s="308" t="s">
        <v>28</v>
      </c>
      <c r="E735" s="316">
        <v>1800681.76</v>
      </c>
      <c r="F735" s="297"/>
    </row>
    <row r="736" spans="1:6" ht="16.95" customHeight="1" x14ac:dyDescent="0.25">
      <c r="A736" s="327"/>
      <c r="B736" s="324"/>
      <c r="C736" s="322"/>
      <c r="D736" s="308" t="s">
        <v>29</v>
      </c>
      <c r="E736" s="316">
        <v>1781018.83</v>
      </c>
      <c r="F736" s="297"/>
    </row>
    <row r="737" spans="1:6" ht="16.95" customHeight="1" x14ac:dyDescent="0.25">
      <c r="A737" s="327"/>
      <c r="B737" s="324"/>
      <c r="C737" s="322"/>
      <c r="D737" s="308" t="s">
        <v>30</v>
      </c>
      <c r="E737" s="316">
        <v>1785034.5</v>
      </c>
      <c r="F737" s="297"/>
    </row>
    <row r="738" spans="1:6" ht="16.95" customHeight="1" x14ac:dyDescent="0.25">
      <c r="A738" s="327"/>
      <c r="B738" s="324"/>
      <c r="C738" s="322"/>
      <c r="D738" s="308" t="s">
        <v>24</v>
      </c>
      <c r="E738" s="316">
        <v>9740630.4000000004</v>
      </c>
      <c r="F738" s="297"/>
    </row>
    <row r="739" spans="1:6" ht="16.95" customHeight="1" x14ac:dyDescent="0.25">
      <c r="A739" s="327"/>
      <c r="B739" s="324"/>
      <c r="C739" s="322"/>
      <c r="D739" s="308" t="s">
        <v>32</v>
      </c>
      <c r="E739" s="316">
        <v>1328755</v>
      </c>
      <c r="F739" s="297"/>
    </row>
    <row r="740" spans="1:6" ht="16.95" customHeight="1" x14ac:dyDescent="0.25">
      <c r="A740" s="328"/>
      <c r="B740" s="325"/>
      <c r="C740" s="320"/>
      <c r="D740" s="308" t="s">
        <v>18</v>
      </c>
      <c r="E740" s="316">
        <v>27419420.710000001</v>
      </c>
      <c r="F740" s="297"/>
    </row>
    <row r="741" spans="1:6" ht="16.95" customHeight="1" x14ac:dyDescent="0.25">
      <c r="A741" s="329">
        <v>214</v>
      </c>
      <c r="B741" s="321" t="s">
        <v>143</v>
      </c>
      <c r="C741" s="330" t="s">
        <v>144</v>
      </c>
      <c r="D741" s="308" t="s">
        <v>24</v>
      </c>
      <c r="E741" s="316">
        <v>8432162.1600000001</v>
      </c>
      <c r="F741" s="297"/>
    </row>
    <row r="742" spans="1:6" ht="16.95" customHeight="1" x14ac:dyDescent="0.25">
      <c r="A742" s="329"/>
      <c r="B742" s="321"/>
      <c r="C742" s="330"/>
      <c r="D742" s="308" t="s">
        <v>32</v>
      </c>
      <c r="E742" s="316">
        <v>939358.67</v>
      </c>
      <c r="F742" s="297"/>
    </row>
    <row r="743" spans="1:6" ht="16.95" customHeight="1" x14ac:dyDescent="0.25">
      <c r="A743" s="329"/>
      <c r="B743" s="321"/>
      <c r="C743" s="330"/>
      <c r="D743" s="308" t="s">
        <v>18</v>
      </c>
      <c r="E743" s="316">
        <v>9371520.8300000001</v>
      </c>
      <c r="F743" s="297"/>
    </row>
    <row r="744" spans="1:6" ht="16.95" customHeight="1" x14ac:dyDescent="0.25">
      <c r="A744" s="329">
        <v>215</v>
      </c>
      <c r="B744" s="321" t="s">
        <v>145</v>
      </c>
      <c r="C744" s="330">
        <v>17</v>
      </c>
      <c r="D744" s="308" t="s">
        <v>26</v>
      </c>
      <c r="E744" s="316">
        <v>1252442.95</v>
      </c>
      <c r="F744" s="297"/>
    </row>
    <row r="745" spans="1:6" ht="16.95" customHeight="1" x14ac:dyDescent="0.25">
      <c r="A745" s="329"/>
      <c r="B745" s="321"/>
      <c r="C745" s="330"/>
      <c r="D745" s="308" t="s">
        <v>27</v>
      </c>
      <c r="E745" s="316">
        <v>8411496.1199999992</v>
      </c>
      <c r="F745" s="297"/>
    </row>
    <row r="746" spans="1:6" ht="16.95" customHeight="1" x14ac:dyDescent="0.25">
      <c r="A746" s="329"/>
      <c r="B746" s="321"/>
      <c r="C746" s="330"/>
      <c r="D746" s="308" t="s">
        <v>28</v>
      </c>
      <c r="E746" s="316">
        <v>1619900.98</v>
      </c>
      <c r="F746" s="297"/>
    </row>
    <row r="747" spans="1:6" ht="16.95" customHeight="1" x14ac:dyDescent="0.25">
      <c r="A747" s="329"/>
      <c r="B747" s="321"/>
      <c r="C747" s="330"/>
      <c r="D747" s="308" t="s">
        <v>29</v>
      </c>
      <c r="E747" s="316">
        <v>1722217.24</v>
      </c>
      <c r="F747" s="297"/>
    </row>
    <row r="748" spans="1:6" ht="16.95" customHeight="1" x14ac:dyDescent="0.25">
      <c r="A748" s="329"/>
      <c r="B748" s="321"/>
      <c r="C748" s="330"/>
      <c r="D748" s="308" t="s">
        <v>146</v>
      </c>
      <c r="E748" s="316">
        <v>1215410.51</v>
      </c>
      <c r="F748" s="297"/>
    </row>
    <row r="749" spans="1:6" ht="16.95" customHeight="1" x14ac:dyDescent="0.25">
      <c r="A749" s="329"/>
      <c r="B749" s="321"/>
      <c r="C749" s="330"/>
      <c r="D749" s="308" t="s">
        <v>30</v>
      </c>
      <c r="E749" s="316">
        <v>1760073.14</v>
      </c>
      <c r="F749" s="297"/>
    </row>
    <row r="750" spans="1:6" ht="16.95" customHeight="1" x14ac:dyDescent="0.25">
      <c r="A750" s="329"/>
      <c r="B750" s="321"/>
      <c r="C750" s="330"/>
      <c r="D750" s="308" t="s">
        <v>17</v>
      </c>
      <c r="E750" s="316">
        <v>679427.78</v>
      </c>
      <c r="F750" s="297"/>
    </row>
    <row r="751" spans="1:6" ht="18" customHeight="1" x14ac:dyDescent="0.25">
      <c r="A751" s="315">
        <v>1</v>
      </c>
      <c r="B751" s="314">
        <v>2</v>
      </c>
      <c r="C751" s="314">
        <v>3</v>
      </c>
      <c r="D751" s="315">
        <v>4</v>
      </c>
      <c r="E751" s="299">
        <v>5</v>
      </c>
      <c r="F751" s="297"/>
    </row>
    <row r="752" spans="1:6" ht="18" customHeight="1" x14ac:dyDescent="0.25">
      <c r="A752" s="301"/>
      <c r="B752" s="288"/>
      <c r="C752" s="288"/>
      <c r="D752" s="308" t="s">
        <v>18</v>
      </c>
      <c r="E752" s="316">
        <v>16660968.720000001</v>
      </c>
      <c r="F752" s="297"/>
    </row>
    <row r="753" spans="1:6" ht="18" customHeight="1" x14ac:dyDescent="0.25">
      <c r="A753" s="329">
        <v>216</v>
      </c>
      <c r="B753" s="321" t="s">
        <v>145</v>
      </c>
      <c r="C753" s="330">
        <v>47</v>
      </c>
      <c r="D753" s="308" t="s">
        <v>24</v>
      </c>
      <c r="E753" s="316">
        <v>6807443.0899999999</v>
      </c>
      <c r="F753" s="297"/>
    </row>
    <row r="754" spans="1:6" ht="18" customHeight="1" x14ac:dyDescent="0.25">
      <c r="A754" s="329"/>
      <c r="B754" s="321"/>
      <c r="C754" s="330"/>
      <c r="D754" s="308" t="s">
        <v>31</v>
      </c>
      <c r="E754" s="316">
        <v>9207396.9000000004</v>
      </c>
      <c r="F754" s="297"/>
    </row>
    <row r="755" spans="1:6" ht="18" customHeight="1" x14ac:dyDescent="0.25">
      <c r="A755" s="329"/>
      <c r="B755" s="321"/>
      <c r="C755" s="330"/>
      <c r="D755" s="308" t="s">
        <v>17</v>
      </c>
      <c r="E755" s="316">
        <v>1094734.04</v>
      </c>
      <c r="F755" s="297"/>
    </row>
    <row r="756" spans="1:6" ht="18" customHeight="1" x14ac:dyDescent="0.25">
      <c r="A756" s="329"/>
      <c r="B756" s="321"/>
      <c r="C756" s="330"/>
      <c r="D756" s="308" t="s">
        <v>18</v>
      </c>
      <c r="E756" s="316">
        <v>17109574.030000001</v>
      </c>
      <c r="F756" s="297"/>
    </row>
    <row r="757" spans="1:6" ht="18" customHeight="1" x14ac:dyDescent="0.25">
      <c r="A757" s="329">
        <v>217</v>
      </c>
      <c r="B757" s="321" t="s">
        <v>55</v>
      </c>
      <c r="C757" s="330">
        <v>27</v>
      </c>
      <c r="D757" s="308" t="s">
        <v>22</v>
      </c>
      <c r="E757" s="282">
        <v>2377151.2400000002</v>
      </c>
      <c r="F757" s="297"/>
    </row>
    <row r="758" spans="1:6" ht="18" customHeight="1" x14ac:dyDescent="0.25">
      <c r="A758" s="329"/>
      <c r="B758" s="321"/>
      <c r="C758" s="330"/>
      <c r="D758" s="308" t="s">
        <v>17</v>
      </c>
      <c r="E758" s="282">
        <v>124000</v>
      </c>
    </row>
    <row r="759" spans="1:6" ht="18" customHeight="1" x14ac:dyDescent="0.25">
      <c r="A759" s="329"/>
      <c r="B759" s="321"/>
      <c r="C759" s="330"/>
      <c r="D759" s="308" t="s">
        <v>18</v>
      </c>
      <c r="E759" s="282">
        <v>2501151.2400000002</v>
      </c>
    </row>
    <row r="760" spans="1:6" ht="18" customHeight="1" x14ac:dyDescent="0.25">
      <c r="A760" s="329">
        <v>218</v>
      </c>
      <c r="B760" s="321" t="s">
        <v>55</v>
      </c>
      <c r="C760" s="330">
        <v>29</v>
      </c>
      <c r="D760" s="308" t="s">
        <v>22</v>
      </c>
      <c r="E760" s="282">
        <v>2377151.2400000002</v>
      </c>
      <c r="F760" s="297"/>
    </row>
    <row r="761" spans="1:6" ht="18" customHeight="1" x14ac:dyDescent="0.25">
      <c r="A761" s="329"/>
      <c r="B761" s="321"/>
      <c r="C761" s="330"/>
      <c r="D761" s="308" t="s">
        <v>17</v>
      </c>
      <c r="E761" s="282">
        <v>124000</v>
      </c>
    </row>
    <row r="762" spans="1:6" ht="18" customHeight="1" x14ac:dyDescent="0.25">
      <c r="A762" s="329"/>
      <c r="B762" s="321"/>
      <c r="C762" s="330"/>
      <c r="D762" s="308" t="s">
        <v>18</v>
      </c>
      <c r="E762" s="282">
        <v>2501151.2400000002</v>
      </c>
    </row>
    <row r="763" spans="1:6" ht="18" customHeight="1" x14ac:dyDescent="0.25">
      <c r="A763" s="329">
        <v>219</v>
      </c>
      <c r="B763" s="321" t="s">
        <v>55</v>
      </c>
      <c r="C763" s="330">
        <v>31</v>
      </c>
      <c r="D763" s="308" t="s">
        <v>22</v>
      </c>
      <c r="E763" s="282">
        <v>2377151.2400000002</v>
      </c>
      <c r="F763" s="297"/>
    </row>
    <row r="764" spans="1:6" ht="18" customHeight="1" x14ac:dyDescent="0.25">
      <c r="A764" s="329"/>
      <c r="B764" s="321"/>
      <c r="C764" s="330"/>
      <c r="D764" s="308" t="s">
        <v>17</v>
      </c>
      <c r="E764" s="282">
        <v>124000</v>
      </c>
    </row>
    <row r="765" spans="1:6" ht="18" customHeight="1" x14ac:dyDescent="0.25">
      <c r="A765" s="329"/>
      <c r="B765" s="321"/>
      <c r="C765" s="330"/>
      <c r="D765" s="308" t="s">
        <v>18</v>
      </c>
      <c r="E765" s="282">
        <v>2501151.2400000002</v>
      </c>
    </row>
    <row r="766" spans="1:6" ht="18" customHeight="1" x14ac:dyDescent="0.25">
      <c r="A766" s="326">
        <v>220</v>
      </c>
      <c r="B766" s="323" t="s">
        <v>55</v>
      </c>
      <c r="C766" s="319">
        <v>33</v>
      </c>
      <c r="D766" s="308" t="s">
        <v>16</v>
      </c>
      <c r="E766" s="316">
        <v>1851415.78</v>
      </c>
      <c r="F766" s="297"/>
    </row>
    <row r="767" spans="1:6" ht="18" customHeight="1" x14ac:dyDescent="0.25">
      <c r="A767" s="327"/>
      <c r="B767" s="324"/>
      <c r="C767" s="322"/>
      <c r="D767" s="308" t="s">
        <v>17</v>
      </c>
      <c r="E767" s="316">
        <v>75945.039999999994</v>
      </c>
      <c r="F767" s="297"/>
    </row>
    <row r="768" spans="1:6" ht="18" customHeight="1" x14ac:dyDescent="0.25">
      <c r="A768" s="328"/>
      <c r="B768" s="325"/>
      <c r="C768" s="320"/>
      <c r="D768" s="308" t="s">
        <v>18</v>
      </c>
      <c r="E768" s="316">
        <v>1927360.82</v>
      </c>
      <c r="F768" s="297"/>
    </row>
    <row r="769" spans="1:6" ht="18" customHeight="1" x14ac:dyDescent="0.25">
      <c r="A769" s="329">
        <v>221</v>
      </c>
      <c r="B769" s="321" t="s">
        <v>148</v>
      </c>
      <c r="C769" s="330">
        <v>2</v>
      </c>
      <c r="D769" s="308" t="s">
        <v>16</v>
      </c>
      <c r="E769" s="316">
        <v>1851415.78</v>
      </c>
      <c r="F769" s="297"/>
    </row>
    <row r="770" spans="1:6" ht="18" customHeight="1" x14ac:dyDescent="0.25">
      <c r="A770" s="329"/>
      <c r="B770" s="321"/>
      <c r="C770" s="330"/>
      <c r="D770" s="308" t="s">
        <v>17</v>
      </c>
      <c r="E770" s="316">
        <v>75945.039999999994</v>
      </c>
    </row>
    <row r="771" spans="1:6" ht="18" customHeight="1" x14ac:dyDescent="0.25">
      <c r="A771" s="329"/>
      <c r="B771" s="321"/>
      <c r="C771" s="330"/>
      <c r="D771" s="308" t="s">
        <v>18</v>
      </c>
      <c r="E771" s="316">
        <v>1927360.82</v>
      </c>
    </row>
    <row r="772" spans="1:6" ht="18" customHeight="1" x14ac:dyDescent="0.25">
      <c r="A772" s="329">
        <v>222</v>
      </c>
      <c r="B772" s="321" t="s">
        <v>148</v>
      </c>
      <c r="C772" s="330">
        <v>3</v>
      </c>
      <c r="D772" s="308" t="s">
        <v>16</v>
      </c>
      <c r="E772" s="316">
        <v>3702831.57</v>
      </c>
      <c r="F772" s="297"/>
    </row>
    <row r="773" spans="1:6" ht="18" customHeight="1" x14ac:dyDescent="0.25">
      <c r="A773" s="329"/>
      <c r="B773" s="321"/>
      <c r="C773" s="330"/>
      <c r="D773" s="308" t="s">
        <v>17</v>
      </c>
      <c r="E773" s="316">
        <v>151890.07999999999</v>
      </c>
    </row>
    <row r="774" spans="1:6" ht="18" customHeight="1" x14ac:dyDescent="0.25">
      <c r="A774" s="329"/>
      <c r="B774" s="321"/>
      <c r="C774" s="330"/>
      <c r="D774" s="308" t="s">
        <v>18</v>
      </c>
      <c r="E774" s="316">
        <v>3854721.65</v>
      </c>
    </row>
    <row r="775" spans="1:6" ht="18" customHeight="1" x14ac:dyDescent="0.25">
      <c r="A775" s="329">
        <v>223</v>
      </c>
      <c r="B775" s="321" t="s">
        <v>148</v>
      </c>
      <c r="C775" s="330">
        <v>4</v>
      </c>
      <c r="D775" s="308" t="s">
        <v>16</v>
      </c>
      <c r="E775" s="316">
        <v>7405663.1399999997</v>
      </c>
      <c r="F775" s="297"/>
    </row>
    <row r="776" spans="1:6" ht="18" customHeight="1" x14ac:dyDescent="0.25">
      <c r="A776" s="329"/>
      <c r="B776" s="321"/>
      <c r="C776" s="330"/>
      <c r="D776" s="308" t="s">
        <v>17</v>
      </c>
      <c r="E776" s="316">
        <v>303780.15999999997</v>
      </c>
    </row>
    <row r="777" spans="1:6" ht="18" customHeight="1" x14ac:dyDescent="0.25">
      <c r="A777" s="329"/>
      <c r="B777" s="321"/>
      <c r="C777" s="330"/>
      <c r="D777" s="308" t="s">
        <v>18</v>
      </c>
      <c r="E777" s="316">
        <v>7709443.2999999998</v>
      </c>
    </row>
    <row r="778" spans="1:6" ht="18" customHeight="1" x14ac:dyDescent="0.25">
      <c r="A778" s="315">
        <v>224</v>
      </c>
      <c r="B778" s="286" t="s">
        <v>148</v>
      </c>
      <c r="C778" s="314">
        <v>14</v>
      </c>
      <c r="D778" s="308" t="s">
        <v>16</v>
      </c>
      <c r="E778" s="316">
        <v>9257078.9199999999</v>
      </c>
      <c r="F778" s="297"/>
    </row>
    <row r="779" spans="1:6" ht="18" customHeight="1" x14ac:dyDescent="0.25">
      <c r="A779" s="315">
        <v>1</v>
      </c>
      <c r="B779" s="314">
        <v>2</v>
      </c>
      <c r="C779" s="314">
        <v>3</v>
      </c>
      <c r="D779" s="315">
        <v>4</v>
      </c>
      <c r="E779" s="299">
        <v>5</v>
      </c>
      <c r="F779" s="297"/>
    </row>
    <row r="780" spans="1:6" ht="18" customHeight="1" x14ac:dyDescent="0.25">
      <c r="A780" s="326"/>
      <c r="B780" s="319"/>
      <c r="C780" s="319"/>
      <c r="D780" s="308" t="s">
        <v>17</v>
      </c>
      <c r="E780" s="316">
        <v>379725.2</v>
      </c>
    </row>
    <row r="781" spans="1:6" ht="18" customHeight="1" x14ac:dyDescent="0.25">
      <c r="A781" s="328"/>
      <c r="B781" s="320"/>
      <c r="C781" s="320"/>
      <c r="D781" s="308" t="s">
        <v>18</v>
      </c>
      <c r="E781" s="316">
        <v>9636804.1199999992</v>
      </c>
    </row>
    <row r="782" spans="1:6" ht="12.6" customHeight="1" x14ac:dyDescent="0.25"/>
    <row r="783" spans="1:6" ht="15" customHeight="1" x14ac:dyDescent="0.25">
      <c r="A783" s="331" t="s">
        <v>149</v>
      </c>
      <c r="B783" s="331"/>
      <c r="C783" s="331"/>
      <c r="D783" s="331"/>
    </row>
    <row r="784" spans="1:6" ht="15.6" customHeight="1" x14ac:dyDescent="0.25">
      <c r="A784" s="332" t="s">
        <v>870</v>
      </c>
      <c r="B784" s="331"/>
      <c r="C784" s="331"/>
      <c r="D784" s="331"/>
    </row>
    <row r="785" spans="1:15" ht="15.6" customHeight="1" x14ac:dyDescent="0.25">
      <c r="A785" s="332" t="s">
        <v>871</v>
      </c>
      <c r="B785" s="331"/>
      <c r="C785" s="331"/>
      <c r="D785" s="331"/>
    </row>
    <row r="786" spans="1:15" s="296" customFormat="1" ht="54" customHeight="1" x14ac:dyDescent="0.25">
      <c r="A786" s="294"/>
      <c r="B786" s="284"/>
      <c r="C786" s="307"/>
      <c r="D786" s="311"/>
      <c r="F786" s="291"/>
      <c r="G786" s="291"/>
      <c r="H786" s="291"/>
      <c r="I786" s="291"/>
      <c r="J786" s="291"/>
      <c r="K786" s="291"/>
      <c r="L786" s="291"/>
      <c r="M786" s="291"/>
      <c r="N786" s="291"/>
      <c r="O786" s="291"/>
    </row>
    <row r="789" spans="1:15" s="296" customFormat="1" ht="15.6" customHeight="1" x14ac:dyDescent="0.25">
      <c r="A789" s="331"/>
      <c r="B789" s="331"/>
      <c r="C789" s="331"/>
      <c r="D789" s="331"/>
      <c r="F789" s="291"/>
      <c r="G789" s="291"/>
      <c r="H789" s="291"/>
      <c r="I789" s="291"/>
      <c r="J789" s="291"/>
      <c r="K789" s="291"/>
      <c r="L789" s="291"/>
      <c r="M789" s="291"/>
      <c r="N789" s="291"/>
      <c r="O789" s="291"/>
    </row>
  </sheetData>
  <autoFilter ref="A15:O781"/>
  <mergeCells count="708">
    <mergeCell ref="D1:E1"/>
    <mergeCell ref="K1:O1"/>
    <mergeCell ref="D2:E2"/>
    <mergeCell ref="K2:O2"/>
    <mergeCell ref="D3:E3"/>
    <mergeCell ref="K3:O3"/>
    <mergeCell ref="A11:E11"/>
    <mergeCell ref="A13:A14"/>
    <mergeCell ref="B13:B14"/>
    <mergeCell ref="C13:C14"/>
    <mergeCell ref="D13:D14"/>
    <mergeCell ref="E13:E14"/>
    <mergeCell ref="D4:E4"/>
    <mergeCell ref="K4:O4"/>
    <mergeCell ref="A7:E7"/>
    <mergeCell ref="A8:E8"/>
    <mergeCell ref="A9:E9"/>
    <mergeCell ref="A10:E10"/>
    <mergeCell ref="A22:A24"/>
    <mergeCell ref="B22:B24"/>
    <mergeCell ref="C22:C24"/>
    <mergeCell ref="A28:A29"/>
    <mergeCell ref="B28:B29"/>
    <mergeCell ref="C28:C29"/>
    <mergeCell ref="A25:A26"/>
    <mergeCell ref="A16:A18"/>
    <mergeCell ref="B16:B18"/>
    <mergeCell ref="C16:C18"/>
    <mergeCell ref="A19:A21"/>
    <mergeCell ref="B19:B21"/>
    <mergeCell ref="C19:C21"/>
    <mergeCell ref="A42:A43"/>
    <mergeCell ref="B42:B43"/>
    <mergeCell ref="C42:C43"/>
    <mergeCell ref="A44:A46"/>
    <mergeCell ref="B44:B46"/>
    <mergeCell ref="C44:C46"/>
    <mergeCell ref="A30:A32"/>
    <mergeCell ref="B30:B32"/>
    <mergeCell ref="C30:C32"/>
    <mergeCell ref="A33:A41"/>
    <mergeCell ref="B33:B41"/>
    <mergeCell ref="C33:C41"/>
    <mergeCell ref="A57:A59"/>
    <mergeCell ref="B57:B59"/>
    <mergeCell ref="C57:C59"/>
    <mergeCell ref="A53:A55"/>
    <mergeCell ref="A47:A49"/>
    <mergeCell ref="B47:B49"/>
    <mergeCell ref="C47:C49"/>
    <mergeCell ref="A50:A52"/>
    <mergeCell ref="B50:B52"/>
    <mergeCell ref="C50:C52"/>
    <mergeCell ref="A66:A68"/>
    <mergeCell ref="B66:B68"/>
    <mergeCell ref="C66:C68"/>
    <mergeCell ref="A69:A71"/>
    <mergeCell ref="B69:B71"/>
    <mergeCell ref="C69:C71"/>
    <mergeCell ref="A60:A62"/>
    <mergeCell ref="B60:B62"/>
    <mergeCell ref="C60:C62"/>
    <mergeCell ref="A63:A65"/>
    <mergeCell ref="B63:B65"/>
    <mergeCell ref="C63:C65"/>
    <mergeCell ref="A86:A87"/>
    <mergeCell ref="A78:A80"/>
    <mergeCell ref="B78:B80"/>
    <mergeCell ref="C78:C80"/>
    <mergeCell ref="A81:A83"/>
    <mergeCell ref="B81:B83"/>
    <mergeCell ref="C81:C83"/>
    <mergeCell ref="A72:A74"/>
    <mergeCell ref="B72:B74"/>
    <mergeCell ref="C72:C74"/>
    <mergeCell ref="A75:A77"/>
    <mergeCell ref="B75:B77"/>
    <mergeCell ref="C75:C77"/>
    <mergeCell ref="A91:A93"/>
    <mergeCell ref="B91:B93"/>
    <mergeCell ref="C91:C93"/>
    <mergeCell ref="A94:A96"/>
    <mergeCell ref="B94:B96"/>
    <mergeCell ref="C94:C96"/>
    <mergeCell ref="A88:A90"/>
    <mergeCell ref="B88:B90"/>
    <mergeCell ref="C88:C90"/>
    <mergeCell ref="A103:A105"/>
    <mergeCell ref="B103:B105"/>
    <mergeCell ref="C103:C105"/>
    <mergeCell ref="A106:A108"/>
    <mergeCell ref="B106:B108"/>
    <mergeCell ref="C106:C108"/>
    <mergeCell ref="A97:A99"/>
    <mergeCell ref="B97:B99"/>
    <mergeCell ref="C97:C99"/>
    <mergeCell ref="A100:A102"/>
    <mergeCell ref="B100:B102"/>
    <mergeCell ref="C100:C102"/>
    <mergeCell ref="A121:A123"/>
    <mergeCell ref="B121:B123"/>
    <mergeCell ref="C121:C123"/>
    <mergeCell ref="A124:A126"/>
    <mergeCell ref="B124:B126"/>
    <mergeCell ref="C124:C126"/>
    <mergeCell ref="A109:A111"/>
    <mergeCell ref="B109:B111"/>
    <mergeCell ref="C109:C111"/>
    <mergeCell ref="A118:A120"/>
    <mergeCell ref="B118:B120"/>
    <mergeCell ref="C118:C120"/>
    <mergeCell ref="C112:C113"/>
    <mergeCell ref="B112:B113"/>
    <mergeCell ref="A133:A135"/>
    <mergeCell ref="B133:B135"/>
    <mergeCell ref="C133:C135"/>
    <mergeCell ref="A136:A138"/>
    <mergeCell ref="B136:B138"/>
    <mergeCell ref="C136:C138"/>
    <mergeCell ref="A127:A129"/>
    <mergeCell ref="B127:B129"/>
    <mergeCell ref="C127:C129"/>
    <mergeCell ref="A130:A132"/>
    <mergeCell ref="B130:B132"/>
    <mergeCell ref="C130:C132"/>
    <mergeCell ref="A147:A149"/>
    <mergeCell ref="B147:B149"/>
    <mergeCell ref="C147:C149"/>
    <mergeCell ref="A150:A152"/>
    <mergeCell ref="B150:B152"/>
    <mergeCell ref="C150:C152"/>
    <mergeCell ref="A139:A141"/>
    <mergeCell ref="B139:B141"/>
    <mergeCell ref="C139:C141"/>
    <mergeCell ref="A159:A161"/>
    <mergeCell ref="B159:B161"/>
    <mergeCell ref="C159:C161"/>
    <mergeCell ref="A162:A164"/>
    <mergeCell ref="B162:B164"/>
    <mergeCell ref="C162:C164"/>
    <mergeCell ref="A153:A155"/>
    <mergeCell ref="B153:B155"/>
    <mergeCell ref="C153:C155"/>
    <mergeCell ref="A156:A158"/>
    <mergeCell ref="B156:B158"/>
    <mergeCell ref="C156:C158"/>
    <mergeCell ref="A175:A177"/>
    <mergeCell ref="B175:B177"/>
    <mergeCell ref="C175:C177"/>
    <mergeCell ref="C173:C174"/>
    <mergeCell ref="B173:B174"/>
    <mergeCell ref="A173:A174"/>
    <mergeCell ref="A165:A167"/>
    <mergeCell ref="B165:B167"/>
    <mergeCell ref="C165:C167"/>
    <mergeCell ref="A168:A170"/>
    <mergeCell ref="B168:B170"/>
    <mergeCell ref="C168:C170"/>
    <mergeCell ref="A184:A186"/>
    <mergeCell ref="B184:B186"/>
    <mergeCell ref="C184:C186"/>
    <mergeCell ref="A187:A189"/>
    <mergeCell ref="B187:B189"/>
    <mergeCell ref="C187:C189"/>
    <mergeCell ref="A178:A180"/>
    <mergeCell ref="B178:B180"/>
    <mergeCell ref="C178:C180"/>
    <mergeCell ref="A181:A183"/>
    <mergeCell ref="B181:B183"/>
    <mergeCell ref="C181:C183"/>
    <mergeCell ref="A196:A198"/>
    <mergeCell ref="B196:B198"/>
    <mergeCell ref="C196:C198"/>
    <mergeCell ref="C199:C200"/>
    <mergeCell ref="B199:B200"/>
    <mergeCell ref="A199:A200"/>
    <mergeCell ref="A190:A192"/>
    <mergeCell ref="B190:B192"/>
    <mergeCell ref="C190:C192"/>
    <mergeCell ref="A193:A195"/>
    <mergeCell ref="B193:B195"/>
    <mergeCell ref="C193:C195"/>
    <mergeCell ref="A211:A216"/>
    <mergeCell ref="B211:B216"/>
    <mergeCell ref="C211:C216"/>
    <mergeCell ref="A217:A219"/>
    <mergeCell ref="B217:B219"/>
    <mergeCell ref="C217:C219"/>
    <mergeCell ref="A203:A206"/>
    <mergeCell ref="B203:B206"/>
    <mergeCell ref="C203:C206"/>
    <mergeCell ref="A207:A210"/>
    <mergeCell ref="B207:B210"/>
    <mergeCell ref="C207:C210"/>
    <mergeCell ref="A226:A228"/>
    <mergeCell ref="B226:B228"/>
    <mergeCell ref="C226:C228"/>
    <mergeCell ref="C231:C232"/>
    <mergeCell ref="B231:B232"/>
    <mergeCell ref="A231:A232"/>
    <mergeCell ref="A220:A222"/>
    <mergeCell ref="B220:B222"/>
    <mergeCell ref="C220:C222"/>
    <mergeCell ref="A223:A225"/>
    <mergeCell ref="B223:B225"/>
    <mergeCell ref="C223:C225"/>
    <mergeCell ref="A239:A241"/>
    <mergeCell ref="B239:B241"/>
    <mergeCell ref="C239:C241"/>
    <mergeCell ref="A242:A244"/>
    <mergeCell ref="B242:B244"/>
    <mergeCell ref="C242:C244"/>
    <mergeCell ref="A233:A235"/>
    <mergeCell ref="B233:B235"/>
    <mergeCell ref="C233:C235"/>
    <mergeCell ref="A236:A238"/>
    <mergeCell ref="B236:B238"/>
    <mergeCell ref="C236:C238"/>
    <mergeCell ref="A257:A258"/>
    <mergeCell ref="C257:C258"/>
    <mergeCell ref="A251:A253"/>
    <mergeCell ref="B251:B253"/>
    <mergeCell ref="C251:C253"/>
    <mergeCell ref="A254:A256"/>
    <mergeCell ref="B254:B256"/>
    <mergeCell ref="C254:C256"/>
    <mergeCell ref="A245:A247"/>
    <mergeCell ref="B245:B247"/>
    <mergeCell ref="C245:C247"/>
    <mergeCell ref="A248:A250"/>
    <mergeCell ref="B248:B250"/>
    <mergeCell ref="C248:C250"/>
    <mergeCell ref="A264:A266"/>
    <mergeCell ref="B264:B266"/>
    <mergeCell ref="C264:C266"/>
    <mergeCell ref="A267:A269"/>
    <mergeCell ref="B267:B269"/>
    <mergeCell ref="C267:C269"/>
    <mergeCell ref="A261:A263"/>
    <mergeCell ref="B261:B263"/>
    <mergeCell ref="C261:C263"/>
    <mergeCell ref="A276:A278"/>
    <mergeCell ref="B276:B278"/>
    <mergeCell ref="C276:C278"/>
    <mergeCell ref="A279:A281"/>
    <mergeCell ref="B279:B281"/>
    <mergeCell ref="C279:C281"/>
    <mergeCell ref="A270:A272"/>
    <mergeCell ref="B270:B272"/>
    <mergeCell ref="C270:C272"/>
    <mergeCell ref="A273:A275"/>
    <mergeCell ref="B273:B275"/>
    <mergeCell ref="C273:C275"/>
    <mergeCell ref="A289:A291"/>
    <mergeCell ref="B289:B291"/>
    <mergeCell ref="C289:C291"/>
    <mergeCell ref="A292:A294"/>
    <mergeCell ref="B292:B294"/>
    <mergeCell ref="C292:C294"/>
    <mergeCell ref="A282:A284"/>
    <mergeCell ref="B282:B284"/>
    <mergeCell ref="C282:C284"/>
    <mergeCell ref="A301:A303"/>
    <mergeCell ref="B301:B303"/>
    <mergeCell ref="C301:C303"/>
    <mergeCell ref="A304:A306"/>
    <mergeCell ref="B304:B306"/>
    <mergeCell ref="C304:C306"/>
    <mergeCell ref="A295:A297"/>
    <mergeCell ref="B295:B297"/>
    <mergeCell ref="C295:C297"/>
    <mergeCell ref="A298:A300"/>
    <mergeCell ref="B298:B300"/>
    <mergeCell ref="C298:C300"/>
    <mergeCell ref="A313:A315"/>
    <mergeCell ref="B313:B315"/>
    <mergeCell ref="C313:C315"/>
    <mergeCell ref="A307:A309"/>
    <mergeCell ref="B307:B309"/>
    <mergeCell ref="C307:C309"/>
    <mergeCell ref="A310:A312"/>
    <mergeCell ref="B310:B312"/>
    <mergeCell ref="C310:C312"/>
    <mergeCell ref="A329:A331"/>
    <mergeCell ref="B329:B331"/>
    <mergeCell ref="C329:C331"/>
    <mergeCell ref="A320:A322"/>
    <mergeCell ref="B320:B322"/>
    <mergeCell ref="C320:C322"/>
    <mergeCell ref="A323:A325"/>
    <mergeCell ref="B323:B325"/>
    <mergeCell ref="C323:C325"/>
    <mergeCell ref="A349:A351"/>
    <mergeCell ref="B349:B351"/>
    <mergeCell ref="C349:C351"/>
    <mergeCell ref="C341:C345"/>
    <mergeCell ref="B341:B345"/>
    <mergeCell ref="A341:A345"/>
    <mergeCell ref="C347:C348"/>
    <mergeCell ref="A338:A340"/>
    <mergeCell ref="B338:B340"/>
    <mergeCell ref="C338:C340"/>
    <mergeCell ref="A358:A360"/>
    <mergeCell ref="B358:B360"/>
    <mergeCell ref="C358:C360"/>
    <mergeCell ref="A361:A363"/>
    <mergeCell ref="B361:B363"/>
    <mergeCell ref="C361:C363"/>
    <mergeCell ref="A352:A354"/>
    <mergeCell ref="B352:B354"/>
    <mergeCell ref="C352:C354"/>
    <mergeCell ref="A355:A357"/>
    <mergeCell ref="B355:B357"/>
    <mergeCell ref="C355:C357"/>
    <mergeCell ref="A370:A372"/>
    <mergeCell ref="B370:B372"/>
    <mergeCell ref="C370:C372"/>
    <mergeCell ref="A373:A374"/>
    <mergeCell ref="B373:B374"/>
    <mergeCell ref="A364:A366"/>
    <mergeCell ref="B364:B366"/>
    <mergeCell ref="C364:C366"/>
    <mergeCell ref="A367:A369"/>
    <mergeCell ref="B367:B369"/>
    <mergeCell ref="C367:C369"/>
    <mergeCell ref="A383:A385"/>
    <mergeCell ref="B383:B385"/>
    <mergeCell ref="C383:C385"/>
    <mergeCell ref="A386:A388"/>
    <mergeCell ref="B386:B388"/>
    <mergeCell ref="C386:C388"/>
    <mergeCell ref="A377:A379"/>
    <mergeCell ref="B377:B379"/>
    <mergeCell ref="C377:C379"/>
    <mergeCell ref="A380:A382"/>
    <mergeCell ref="B380:B382"/>
    <mergeCell ref="C380:C382"/>
    <mergeCell ref="A395:A397"/>
    <mergeCell ref="B395:B397"/>
    <mergeCell ref="C395:C397"/>
    <mergeCell ref="A398:A400"/>
    <mergeCell ref="B398:B400"/>
    <mergeCell ref="C398:C400"/>
    <mergeCell ref="A389:A391"/>
    <mergeCell ref="B389:B391"/>
    <mergeCell ref="C389:C391"/>
    <mergeCell ref="A392:A394"/>
    <mergeCell ref="B392:B394"/>
    <mergeCell ref="C392:C394"/>
    <mergeCell ref="A408:A410"/>
    <mergeCell ref="B408:B410"/>
    <mergeCell ref="C408:C410"/>
    <mergeCell ref="A411:A413"/>
    <mergeCell ref="B411:B413"/>
    <mergeCell ref="C411:C413"/>
    <mergeCell ref="A405:A407"/>
    <mergeCell ref="B405:B407"/>
    <mergeCell ref="C405:C407"/>
    <mergeCell ref="A420:A426"/>
    <mergeCell ref="B420:B426"/>
    <mergeCell ref="C420:C426"/>
    <mergeCell ref="A427:A429"/>
    <mergeCell ref="B427:B429"/>
    <mergeCell ref="C427:C429"/>
    <mergeCell ref="A414:A416"/>
    <mergeCell ref="B414:B416"/>
    <mergeCell ref="C414:C416"/>
    <mergeCell ref="A417:A419"/>
    <mergeCell ref="B417:B419"/>
    <mergeCell ref="C417:C419"/>
    <mergeCell ref="A437:A440"/>
    <mergeCell ref="B437:B440"/>
    <mergeCell ref="C437:C440"/>
    <mergeCell ref="A441:A444"/>
    <mergeCell ref="B441:B444"/>
    <mergeCell ref="C441:C444"/>
    <mergeCell ref="A430:A432"/>
    <mergeCell ref="B430:B432"/>
    <mergeCell ref="C430:C432"/>
    <mergeCell ref="A434:A436"/>
    <mergeCell ref="B434:B436"/>
    <mergeCell ref="C434:C436"/>
    <mergeCell ref="A452:A454"/>
    <mergeCell ref="B452:B454"/>
    <mergeCell ref="C452:C454"/>
    <mergeCell ref="A455:A456"/>
    <mergeCell ref="B455:B456"/>
    <mergeCell ref="C455:C456"/>
    <mergeCell ref="A445:A447"/>
    <mergeCell ref="B445:B447"/>
    <mergeCell ref="C445:C447"/>
    <mergeCell ref="A448:A451"/>
    <mergeCell ref="B448:B451"/>
    <mergeCell ref="C448:C451"/>
    <mergeCell ref="A463:A464"/>
    <mergeCell ref="B463:B464"/>
    <mergeCell ref="C463:C464"/>
    <mergeCell ref="A465:A467"/>
    <mergeCell ref="B465:B467"/>
    <mergeCell ref="C465:C467"/>
    <mergeCell ref="A457:A459"/>
    <mergeCell ref="B457:B459"/>
    <mergeCell ref="C457:C459"/>
    <mergeCell ref="A460:A461"/>
    <mergeCell ref="B460:B461"/>
    <mergeCell ref="C460:C461"/>
    <mergeCell ref="A474:A476"/>
    <mergeCell ref="B474:B476"/>
    <mergeCell ref="C474:C476"/>
    <mergeCell ref="A477:A479"/>
    <mergeCell ref="B477:B479"/>
    <mergeCell ref="C477:C479"/>
    <mergeCell ref="A468:A470"/>
    <mergeCell ref="B468:B470"/>
    <mergeCell ref="C468:C470"/>
    <mergeCell ref="A471:A473"/>
    <mergeCell ref="B471:B473"/>
    <mergeCell ref="C471:C473"/>
    <mergeCell ref="A486:A490"/>
    <mergeCell ref="B486:B490"/>
    <mergeCell ref="C486:C490"/>
    <mergeCell ref="A492:A494"/>
    <mergeCell ref="B492:B494"/>
    <mergeCell ref="C492:C494"/>
    <mergeCell ref="A480:A482"/>
    <mergeCell ref="B480:B482"/>
    <mergeCell ref="C480:C482"/>
    <mergeCell ref="A483:A485"/>
    <mergeCell ref="B483:B485"/>
    <mergeCell ref="C483:C485"/>
    <mergeCell ref="A501:A503"/>
    <mergeCell ref="B501:B503"/>
    <mergeCell ref="C501:C503"/>
    <mergeCell ref="A504:A508"/>
    <mergeCell ref="B504:B508"/>
    <mergeCell ref="C504:C508"/>
    <mergeCell ref="A495:A497"/>
    <mergeCell ref="B495:B497"/>
    <mergeCell ref="C495:C497"/>
    <mergeCell ref="A498:A500"/>
    <mergeCell ref="B498:B500"/>
    <mergeCell ref="C498:C500"/>
    <mergeCell ref="A518:A519"/>
    <mergeCell ref="B518:B519"/>
    <mergeCell ref="C518:C519"/>
    <mergeCell ref="A522:A524"/>
    <mergeCell ref="B522:B524"/>
    <mergeCell ref="C522:C524"/>
    <mergeCell ref="A509:A514"/>
    <mergeCell ref="B509:B514"/>
    <mergeCell ref="C509:C514"/>
    <mergeCell ref="A515:A517"/>
    <mergeCell ref="B515:B517"/>
    <mergeCell ref="C515:C517"/>
    <mergeCell ref="A531:A533"/>
    <mergeCell ref="B531:B533"/>
    <mergeCell ref="C531:C533"/>
    <mergeCell ref="A534:A536"/>
    <mergeCell ref="B534:B536"/>
    <mergeCell ref="C534:C536"/>
    <mergeCell ref="A525:A527"/>
    <mergeCell ref="B525:B527"/>
    <mergeCell ref="C525:C527"/>
    <mergeCell ref="A528:A530"/>
    <mergeCell ref="B528:B530"/>
    <mergeCell ref="C528:C530"/>
    <mergeCell ref="A543:A545"/>
    <mergeCell ref="B543:B545"/>
    <mergeCell ref="C543:C545"/>
    <mergeCell ref="A546:A548"/>
    <mergeCell ref="B546:B548"/>
    <mergeCell ref="C546:C548"/>
    <mergeCell ref="A537:A539"/>
    <mergeCell ref="B537:B539"/>
    <mergeCell ref="C537:C539"/>
    <mergeCell ref="A540:A542"/>
    <mergeCell ref="B540:B542"/>
    <mergeCell ref="C540:C542"/>
    <mergeCell ref="A557:A559"/>
    <mergeCell ref="B557:B559"/>
    <mergeCell ref="C557:C559"/>
    <mergeCell ref="A560:A562"/>
    <mergeCell ref="B560:B562"/>
    <mergeCell ref="C560:C562"/>
    <mergeCell ref="A550:A552"/>
    <mergeCell ref="B550:B552"/>
    <mergeCell ref="C550:C552"/>
    <mergeCell ref="A553:A556"/>
    <mergeCell ref="B553:B556"/>
    <mergeCell ref="C553:C556"/>
    <mergeCell ref="A569:A576"/>
    <mergeCell ref="B569:B576"/>
    <mergeCell ref="C569:C576"/>
    <mergeCell ref="A578:A580"/>
    <mergeCell ref="B578:B580"/>
    <mergeCell ref="C578:C580"/>
    <mergeCell ref="A563:A565"/>
    <mergeCell ref="B563:B565"/>
    <mergeCell ref="C563:C565"/>
    <mergeCell ref="A566:A568"/>
    <mergeCell ref="B566:B568"/>
    <mergeCell ref="C566:C568"/>
    <mergeCell ref="A587:A589"/>
    <mergeCell ref="B587:B589"/>
    <mergeCell ref="C587:C589"/>
    <mergeCell ref="A590:A592"/>
    <mergeCell ref="B590:B592"/>
    <mergeCell ref="C590:C592"/>
    <mergeCell ref="A581:A583"/>
    <mergeCell ref="B581:B583"/>
    <mergeCell ref="C581:C583"/>
    <mergeCell ref="A584:A586"/>
    <mergeCell ref="B584:B586"/>
    <mergeCell ref="C584:C586"/>
    <mergeCell ref="A599:A602"/>
    <mergeCell ref="B599:B602"/>
    <mergeCell ref="C599:C602"/>
    <mergeCell ref="A603:A605"/>
    <mergeCell ref="B603:B605"/>
    <mergeCell ref="C603:C605"/>
    <mergeCell ref="A593:A595"/>
    <mergeCell ref="B593:B595"/>
    <mergeCell ref="C593:C595"/>
    <mergeCell ref="A596:A598"/>
    <mergeCell ref="B596:B598"/>
    <mergeCell ref="C596:C598"/>
    <mergeCell ref="A616:A619"/>
    <mergeCell ref="B616:B619"/>
    <mergeCell ref="C616:C619"/>
    <mergeCell ref="A620:A623"/>
    <mergeCell ref="B620:B623"/>
    <mergeCell ref="C620:C623"/>
    <mergeCell ref="A608:A611"/>
    <mergeCell ref="B608:B611"/>
    <mergeCell ref="C608:C611"/>
    <mergeCell ref="A612:A615"/>
    <mergeCell ref="B612:B615"/>
    <mergeCell ref="C612:C615"/>
    <mergeCell ref="A630:A632"/>
    <mergeCell ref="B630:B632"/>
    <mergeCell ref="C630:C632"/>
    <mergeCell ref="A633:A634"/>
    <mergeCell ref="B633:B634"/>
    <mergeCell ref="C633:C634"/>
    <mergeCell ref="A624:A626"/>
    <mergeCell ref="B624:B626"/>
    <mergeCell ref="C624:C626"/>
    <mergeCell ref="A627:A629"/>
    <mergeCell ref="B627:B629"/>
    <mergeCell ref="C627:C629"/>
    <mergeCell ref="A643:A644"/>
    <mergeCell ref="B643:B644"/>
    <mergeCell ref="C643:C644"/>
    <mergeCell ref="A645:A647"/>
    <mergeCell ref="B645:B647"/>
    <mergeCell ref="C645:C647"/>
    <mergeCell ref="A637:A639"/>
    <mergeCell ref="B637:B639"/>
    <mergeCell ref="C637:C639"/>
    <mergeCell ref="A640:A642"/>
    <mergeCell ref="B640:B642"/>
    <mergeCell ref="C640:C642"/>
    <mergeCell ref="A654:A658"/>
    <mergeCell ref="B654:B658"/>
    <mergeCell ref="C654:C658"/>
    <mergeCell ref="A659:A663"/>
    <mergeCell ref="B659:B663"/>
    <mergeCell ref="C659:C663"/>
    <mergeCell ref="A648:A650"/>
    <mergeCell ref="B648:B650"/>
    <mergeCell ref="C648:C650"/>
    <mergeCell ref="A651:A653"/>
    <mergeCell ref="B651:B653"/>
    <mergeCell ref="C651:C653"/>
    <mergeCell ref="A672:A674"/>
    <mergeCell ref="B672:B674"/>
    <mergeCell ref="C672:C674"/>
    <mergeCell ref="A675:A679"/>
    <mergeCell ref="B675:B679"/>
    <mergeCell ref="C675:C679"/>
    <mergeCell ref="A665:A668"/>
    <mergeCell ref="B665:B668"/>
    <mergeCell ref="C665:C668"/>
    <mergeCell ref="A669:A671"/>
    <mergeCell ref="B669:B671"/>
    <mergeCell ref="C669:C671"/>
    <mergeCell ref="A686:A688"/>
    <mergeCell ref="B686:B688"/>
    <mergeCell ref="C686:C688"/>
    <mergeCell ref="A689:A692"/>
    <mergeCell ref="B689:B692"/>
    <mergeCell ref="C689:C692"/>
    <mergeCell ref="A680:A682"/>
    <mergeCell ref="B680:B682"/>
    <mergeCell ref="C680:C682"/>
    <mergeCell ref="A683:A685"/>
    <mergeCell ref="B683:B685"/>
    <mergeCell ref="C683:C685"/>
    <mergeCell ref="A702:A704"/>
    <mergeCell ref="B702:B704"/>
    <mergeCell ref="C702:C704"/>
    <mergeCell ref="A705:A707"/>
    <mergeCell ref="B705:B707"/>
    <mergeCell ref="C705:C707"/>
    <mergeCell ref="A695:A697"/>
    <mergeCell ref="B695:B697"/>
    <mergeCell ref="C695:C697"/>
    <mergeCell ref="A698:A701"/>
    <mergeCell ref="B698:B701"/>
    <mergeCell ref="C698:C701"/>
    <mergeCell ref="A714:A716"/>
    <mergeCell ref="B714:B716"/>
    <mergeCell ref="C714:C716"/>
    <mergeCell ref="A717:A719"/>
    <mergeCell ref="B717:B719"/>
    <mergeCell ref="C717:C719"/>
    <mergeCell ref="A708:A710"/>
    <mergeCell ref="B708:B710"/>
    <mergeCell ref="C708:C710"/>
    <mergeCell ref="A711:A713"/>
    <mergeCell ref="B711:B713"/>
    <mergeCell ref="C711:C713"/>
    <mergeCell ref="B741:B743"/>
    <mergeCell ref="C741:C743"/>
    <mergeCell ref="A727:A729"/>
    <mergeCell ref="B727:B729"/>
    <mergeCell ref="C727:C729"/>
    <mergeCell ref="A730:A732"/>
    <mergeCell ref="B730:B732"/>
    <mergeCell ref="C730:C732"/>
    <mergeCell ref="A720:A721"/>
    <mergeCell ref="B720:B721"/>
    <mergeCell ref="C720:C721"/>
    <mergeCell ref="A724:A726"/>
    <mergeCell ref="B724:B726"/>
    <mergeCell ref="C724:C726"/>
    <mergeCell ref="A785:D785"/>
    <mergeCell ref="A789:D789"/>
    <mergeCell ref="A401:A403"/>
    <mergeCell ref="B401:B403"/>
    <mergeCell ref="C401:C403"/>
    <mergeCell ref="A775:A777"/>
    <mergeCell ref="B775:B777"/>
    <mergeCell ref="C775:C777"/>
    <mergeCell ref="A780:A781"/>
    <mergeCell ref="B780:B781"/>
    <mergeCell ref="C780:C781"/>
    <mergeCell ref="A769:A771"/>
    <mergeCell ref="B769:B771"/>
    <mergeCell ref="C769:C771"/>
    <mergeCell ref="A772:A774"/>
    <mergeCell ref="B772:B774"/>
    <mergeCell ref="C772:C774"/>
    <mergeCell ref="A763:A765"/>
    <mergeCell ref="B763:B765"/>
    <mergeCell ref="C763:C765"/>
    <mergeCell ref="A766:A768"/>
    <mergeCell ref="B766:B768"/>
    <mergeCell ref="C766:C768"/>
    <mergeCell ref="A757:A759"/>
    <mergeCell ref="C373:C374"/>
    <mergeCell ref="C25:C26"/>
    <mergeCell ref="B25:B26"/>
    <mergeCell ref="C53:C55"/>
    <mergeCell ref="B53:B55"/>
    <mergeCell ref="C86:C87"/>
    <mergeCell ref="B86:B87"/>
    <mergeCell ref="A783:D783"/>
    <mergeCell ref="A784:D784"/>
    <mergeCell ref="B757:B759"/>
    <mergeCell ref="C757:C759"/>
    <mergeCell ref="A760:A762"/>
    <mergeCell ref="B760:B762"/>
    <mergeCell ref="C760:C762"/>
    <mergeCell ref="A744:A750"/>
    <mergeCell ref="B744:B750"/>
    <mergeCell ref="C744:C750"/>
    <mergeCell ref="A753:A756"/>
    <mergeCell ref="B753:B756"/>
    <mergeCell ref="C753:C756"/>
    <mergeCell ref="A733:A740"/>
    <mergeCell ref="B733:B740"/>
    <mergeCell ref="C733:C740"/>
    <mergeCell ref="A741:A743"/>
    <mergeCell ref="B347:B348"/>
    <mergeCell ref="B257:B258"/>
    <mergeCell ref="C285:C287"/>
    <mergeCell ref="B285:B287"/>
    <mergeCell ref="A285:A287"/>
    <mergeCell ref="C318:C319"/>
    <mergeCell ref="B318:B319"/>
    <mergeCell ref="A318:A319"/>
    <mergeCell ref="A112:A113"/>
    <mergeCell ref="C115:C117"/>
    <mergeCell ref="B115:B117"/>
    <mergeCell ref="A115:A117"/>
    <mergeCell ref="C144:C146"/>
    <mergeCell ref="B144:B146"/>
    <mergeCell ref="A144:A146"/>
    <mergeCell ref="A332:A334"/>
    <mergeCell ref="B332:B334"/>
    <mergeCell ref="C332:C334"/>
    <mergeCell ref="A335:A337"/>
    <mergeCell ref="B335:B337"/>
    <mergeCell ref="C335:C337"/>
    <mergeCell ref="A326:A328"/>
    <mergeCell ref="B326:B328"/>
    <mergeCell ref="C326:C328"/>
  </mergeCells>
  <pageMargins left="0.74803149606299213" right="0.78740157480314965" top="1.1811023622047245" bottom="0.31496062992125984" header="0" footer="0"/>
  <pageSetup paperSize="9" orientation="landscape" useFirstPageNumber="1" r:id="rId1"/>
  <headerFooter differentFirst="1">
    <oddHeader>&amp;C&amp;12
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88"/>
  <sheetViews>
    <sheetView view="pageBreakPreview" topLeftCell="A387" zoomScale="90" zoomScaleNormal="100" zoomScaleSheetLayoutView="90" zoomScalePageLayoutView="80" workbookViewId="0">
      <selection activeCell="A783" sqref="A783:D783"/>
    </sheetView>
  </sheetViews>
  <sheetFormatPr defaultColWidth="9" defaultRowHeight="13.2" x14ac:dyDescent="0.25"/>
  <cols>
    <col min="1" max="1" width="8.44140625" style="294" customWidth="1"/>
    <col min="2" max="2" width="35.5546875" style="284" customWidth="1"/>
    <col min="3" max="3" width="15.6640625" style="295" customWidth="1"/>
    <col min="4" max="4" width="47.5546875" style="294" customWidth="1"/>
    <col min="5" max="5" width="37.21875" style="296" customWidth="1"/>
    <col min="6" max="16384" width="9" style="291"/>
  </cols>
  <sheetData>
    <row r="1" spans="1:15" ht="16.95" customHeight="1" x14ac:dyDescent="0.35">
      <c r="A1" s="289"/>
      <c r="B1" s="283"/>
      <c r="C1" s="290"/>
      <c r="D1" s="344" t="s">
        <v>0</v>
      </c>
      <c r="E1" s="344"/>
      <c r="K1" s="345"/>
      <c r="L1" s="345"/>
      <c r="M1" s="345"/>
      <c r="N1" s="345"/>
      <c r="O1" s="345"/>
    </row>
    <row r="2" spans="1:15" ht="16.95" customHeight="1" x14ac:dyDescent="0.35">
      <c r="A2" s="289"/>
      <c r="B2" s="283"/>
      <c r="C2" s="290"/>
      <c r="D2" s="344" t="s">
        <v>1</v>
      </c>
      <c r="E2" s="344"/>
      <c r="K2" s="345"/>
      <c r="L2" s="345"/>
      <c r="M2" s="345"/>
      <c r="N2" s="345"/>
      <c r="O2" s="345"/>
    </row>
    <row r="3" spans="1:15" ht="16.95" customHeight="1" x14ac:dyDescent="0.35">
      <c r="A3" s="289"/>
      <c r="B3" s="283"/>
      <c r="C3" s="290"/>
      <c r="D3" s="344" t="s">
        <v>2</v>
      </c>
      <c r="E3" s="344"/>
      <c r="K3" s="345"/>
      <c r="L3" s="345"/>
      <c r="M3" s="345"/>
      <c r="N3" s="345"/>
      <c r="O3" s="345"/>
    </row>
    <row r="4" spans="1:15" ht="16.95" customHeight="1" x14ac:dyDescent="0.35">
      <c r="A4" s="289"/>
      <c r="B4" s="283"/>
      <c r="C4" s="290"/>
      <c r="D4" s="344" t="s">
        <v>3</v>
      </c>
      <c r="E4" s="344"/>
      <c r="K4" s="345"/>
      <c r="L4" s="345"/>
      <c r="M4" s="345"/>
      <c r="N4" s="345"/>
      <c r="O4" s="345"/>
    </row>
    <row r="5" spans="1:15" ht="16.95" customHeight="1" x14ac:dyDescent="0.25">
      <c r="A5" s="289"/>
      <c r="B5" s="283"/>
      <c r="C5" s="290"/>
      <c r="D5" s="289"/>
      <c r="E5" s="292"/>
    </row>
    <row r="6" spans="1:15" ht="14.25" customHeight="1" x14ac:dyDescent="0.25">
      <c r="A6" s="289"/>
      <c r="B6" s="283"/>
      <c r="C6" s="290"/>
      <c r="D6" s="289"/>
      <c r="E6" s="292"/>
    </row>
    <row r="7" spans="1:15" ht="16.95" customHeight="1" x14ac:dyDescent="0.25">
      <c r="A7" s="340" t="s">
        <v>4</v>
      </c>
      <c r="B7" s="340"/>
      <c r="C7" s="340"/>
      <c r="D7" s="340"/>
      <c r="E7" s="340"/>
      <c r="F7" s="293"/>
      <c r="G7" s="293"/>
      <c r="H7" s="293"/>
      <c r="I7" s="293"/>
      <c r="J7" s="293"/>
    </row>
    <row r="8" spans="1:15" ht="16.95" customHeight="1" x14ac:dyDescent="0.25">
      <c r="A8" s="340" t="s">
        <v>5</v>
      </c>
      <c r="B8" s="340"/>
      <c r="C8" s="340"/>
      <c r="D8" s="340"/>
      <c r="E8" s="340"/>
      <c r="F8" s="293"/>
      <c r="G8" s="293"/>
      <c r="H8" s="293"/>
      <c r="I8" s="293"/>
      <c r="J8" s="293"/>
    </row>
    <row r="9" spans="1:15" ht="16.95" customHeight="1" x14ac:dyDescent="0.25">
      <c r="A9" s="340" t="s">
        <v>6</v>
      </c>
      <c r="B9" s="340"/>
      <c r="C9" s="340"/>
      <c r="D9" s="340"/>
      <c r="E9" s="340"/>
      <c r="F9" s="293"/>
      <c r="G9" s="293"/>
      <c r="H9" s="293"/>
      <c r="I9" s="293"/>
      <c r="J9" s="293"/>
    </row>
    <row r="10" spans="1:15" ht="16.95" customHeight="1" x14ac:dyDescent="0.25">
      <c r="A10" s="340" t="s">
        <v>7</v>
      </c>
      <c r="B10" s="340"/>
      <c r="C10" s="340"/>
      <c r="D10" s="340"/>
      <c r="E10" s="340"/>
      <c r="F10" s="293"/>
      <c r="G10" s="293"/>
      <c r="H10" s="293"/>
      <c r="I10" s="293"/>
      <c r="J10" s="293"/>
    </row>
    <row r="11" spans="1:15" ht="16.95" customHeight="1" x14ac:dyDescent="0.25">
      <c r="A11" s="340" t="s">
        <v>8</v>
      </c>
      <c r="B11" s="340"/>
      <c r="C11" s="340"/>
      <c r="D11" s="340"/>
      <c r="E11" s="340"/>
      <c r="F11" s="293"/>
      <c r="G11" s="293"/>
      <c r="H11" s="293"/>
      <c r="I11" s="293"/>
      <c r="J11" s="293"/>
    </row>
    <row r="12" spans="1:15" ht="17.100000000000001" customHeight="1" x14ac:dyDescent="0.25"/>
    <row r="13" spans="1:15" ht="100.2" customHeight="1" x14ac:dyDescent="0.25">
      <c r="A13" s="329" t="s">
        <v>9</v>
      </c>
      <c r="B13" s="341" t="s">
        <v>10</v>
      </c>
      <c r="C13" s="339" t="s">
        <v>11</v>
      </c>
      <c r="D13" s="329" t="s">
        <v>12</v>
      </c>
      <c r="E13" s="343" t="s">
        <v>13</v>
      </c>
      <c r="F13" s="297"/>
    </row>
    <row r="14" spans="1:15" ht="13.8" hidden="1" customHeight="1" x14ac:dyDescent="0.25">
      <c r="A14" s="329"/>
      <c r="B14" s="342"/>
      <c r="C14" s="339"/>
      <c r="D14" s="329"/>
      <c r="E14" s="343"/>
      <c r="F14" s="297"/>
    </row>
    <row r="15" spans="1:15" ht="17.25" customHeight="1" x14ac:dyDescent="0.25">
      <c r="A15" s="298">
        <v>1</v>
      </c>
      <c r="B15" s="285">
        <v>2</v>
      </c>
      <c r="C15" s="285">
        <v>3</v>
      </c>
      <c r="D15" s="298">
        <v>4</v>
      </c>
      <c r="E15" s="299">
        <v>5</v>
      </c>
      <c r="F15" s="297"/>
    </row>
    <row r="16" spans="1:15" ht="17.25" customHeight="1" x14ac:dyDescent="0.25">
      <c r="A16" s="326">
        <v>1</v>
      </c>
      <c r="B16" s="323" t="s">
        <v>14</v>
      </c>
      <c r="C16" s="319" t="s">
        <v>15</v>
      </c>
      <c r="D16" s="308" t="s">
        <v>16</v>
      </c>
      <c r="E16" s="282">
        <v>3702831.57</v>
      </c>
      <c r="F16" s="297"/>
    </row>
    <row r="17" spans="1:6" ht="17.25" customHeight="1" x14ac:dyDescent="0.25">
      <c r="A17" s="327"/>
      <c r="B17" s="324"/>
      <c r="C17" s="322"/>
      <c r="D17" s="308" t="s">
        <v>17</v>
      </c>
      <c r="E17" s="282">
        <v>151890.07999999999</v>
      </c>
      <c r="F17" s="297"/>
    </row>
    <row r="18" spans="1:6" ht="17.25" customHeight="1" x14ac:dyDescent="0.25">
      <c r="A18" s="328"/>
      <c r="B18" s="325"/>
      <c r="C18" s="320"/>
      <c r="D18" s="308" t="s">
        <v>18</v>
      </c>
      <c r="E18" s="282">
        <v>3854721.65</v>
      </c>
      <c r="F18" s="297"/>
    </row>
    <row r="19" spans="1:6" ht="17.25" customHeight="1" x14ac:dyDescent="0.25">
      <c r="A19" s="326">
        <v>2</v>
      </c>
      <c r="B19" s="323" t="s">
        <v>14</v>
      </c>
      <c r="C19" s="319" t="s">
        <v>19</v>
      </c>
      <c r="D19" s="308" t="s">
        <v>16</v>
      </c>
      <c r="E19" s="282">
        <v>7405663.1399999997</v>
      </c>
      <c r="F19" s="297"/>
    </row>
    <row r="20" spans="1:6" ht="17.25" customHeight="1" x14ac:dyDescent="0.25">
      <c r="A20" s="327"/>
      <c r="B20" s="324"/>
      <c r="C20" s="322"/>
      <c r="D20" s="308" t="s">
        <v>17</v>
      </c>
      <c r="E20" s="282">
        <v>303780.15999999997</v>
      </c>
      <c r="F20" s="297"/>
    </row>
    <row r="21" spans="1:6" ht="17.25" customHeight="1" x14ac:dyDescent="0.25">
      <c r="A21" s="328"/>
      <c r="B21" s="325"/>
      <c r="C21" s="320"/>
      <c r="D21" s="308" t="s">
        <v>18</v>
      </c>
      <c r="E21" s="282">
        <v>7709443.2999999998</v>
      </c>
      <c r="F21" s="297"/>
    </row>
    <row r="22" spans="1:6" ht="16.95" customHeight="1" x14ac:dyDescent="0.25">
      <c r="A22" s="326">
        <v>3</v>
      </c>
      <c r="B22" s="323" t="s">
        <v>14</v>
      </c>
      <c r="C22" s="319" t="s">
        <v>20</v>
      </c>
      <c r="D22" s="308" t="s">
        <v>16</v>
      </c>
      <c r="E22" s="282">
        <v>1851415.78</v>
      </c>
      <c r="F22" s="297"/>
    </row>
    <row r="23" spans="1:6" ht="16.95" customHeight="1" x14ac:dyDescent="0.25">
      <c r="A23" s="327"/>
      <c r="B23" s="324"/>
      <c r="C23" s="322"/>
      <c r="D23" s="308" t="s">
        <v>17</v>
      </c>
      <c r="E23" s="282">
        <v>75945.039999999994</v>
      </c>
      <c r="F23" s="297"/>
    </row>
    <row r="24" spans="1:6" ht="16.95" customHeight="1" x14ac:dyDescent="0.25">
      <c r="A24" s="328"/>
      <c r="B24" s="325"/>
      <c r="C24" s="320"/>
      <c r="D24" s="308" t="s">
        <v>18</v>
      </c>
      <c r="E24" s="282">
        <v>1927360.82</v>
      </c>
      <c r="F24" s="297"/>
    </row>
    <row r="25" spans="1:6" ht="16.95" customHeight="1" x14ac:dyDescent="0.25">
      <c r="A25" s="298">
        <v>4</v>
      </c>
      <c r="B25" s="286" t="s">
        <v>14</v>
      </c>
      <c r="C25" s="285" t="s">
        <v>21</v>
      </c>
      <c r="D25" s="308" t="s">
        <v>22</v>
      </c>
      <c r="E25" s="282">
        <v>4754302.4800000004</v>
      </c>
      <c r="F25" s="297"/>
    </row>
    <row r="26" spans="1:6" ht="16.95" customHeight="1" x14ac:dyDescent="0.25">
      <c r="A26" s="298">
        <v>1</v>
      </c>
      <c r="B26" s="285">
        <v>2</v>
      </c>
      <c r="C26" s="285">
        <v>3</v>
      </c>
      <c r="D26" s="298">
        <v>4</v>
      </c>
      <c r="E26" s="299">
        <v>5</v>
      </c>
      <c r="F26" s="297"/>
    </row>
    <row r="27" spans="1:6" ht="16.95" customHeight="1" x14ac:dyDescent="0.25">
      <c r="A27" s="329"/>
      <c r="B27" s="330"/>
      <c r="C27" s="330"/>
      <c r="D27" s="308" t="s">
        <v>16</v>
      </c>
      <c r="E27" s="282">
        <v>7405663.1399999997</v>
      </c>
      <c r="F27" s="297"/>
    </row>
    <row r="28" spans="1:6" ht="16.95" customHeight="1" x14ac:dyDescent="0.25">
      <c r="A28" s="329"/>
      <c r="B28" s="330"/>
      <c r="C28" s="330"/>
      <c r="D28" s="308" t="s">
        <v>17</v>
      </c>
      <c r="E28" s="282">
        <v>551780.16</v>
      </c>
      <c r="F28" s="297"/>
    </row>
    <row r="29" spans="1:6" ht="16.95" customHeight="1" x14ac:dyDescent="0.25">
      <c r="A29" s="329"/>
      <c r="B29" s="330"/>
      <c r="C29" s="330"/>
      <c r="D29" s="308" t="s">
        <v>18</v>
      </c>
      <c r="E29" s="282">
        <v>12711745.779999999</v>
      </c>
      <c r="F29" s="297"/>
    </row>
    <row r="30" spans="1:6" ht="16.95" customHeight="1" x14ac:dyDescent="0.25">
      <c r="A30" s="326">
        <v>5</v>
      </c>
      <c r="B30" s="321" t="s">
        <v>23</v>
      </c>
      <c r="C30" s="330">
        <v>2</v>
      </c>
      <c r="D30" s="308" t="s">
        <v>24</v>
      </c>
      <c r="E30" s="282">
        <v>8274424.8600000003</v>
      </c>
      <c r="F30" s="297"/>
    </row>
    <row r="31" spans="1:6" ht="16.95" customHeight="1" x14ac:dyDescent="0.25">
      <c r="A31" s="327"/>
      <c r="B31" s="321"/>
      <c r="C31" s="330"/>
      <c r="D31" s="308" t="s">
        <v>17</v>
      </c>
      <c r="E31" s="282">
        <v>466942.1</v>
      </c>
      <c r="F31" s="297"/>
    </row>
    <row r="32" spans="1:6" ht="16.95" customHeight="1" x14ac:dyDescent="0.25">
      <c r="A32" s="328"/>
      <c r="B32" s="321"/>
      <c r="C32" s="330"/>
      <c r="D32" s="308" t="s">
        <v>18</v>
      </c>
      <c r="E32" s="282" t="s">
        <v>25</v>
      </c>
      <c r="F32" s="297"/>
    </row>
    <row r="33" spans="1:6" ht="16.95" customHeight="1" x14ac:dyDescent="0.25">
      <c r="A33" s="326">
        <v>6</v>
      </c>
      <c r="B33" s="323" t="s">
        <v>23</v>
      </c>
      <c r="C33" s="319">
        <v>28</v>
      </c>
      <c r="D33" s="308" t="s">
        <v>26</v>
      </c>
      <c r="E33" s="282">
        <v>465992.84</v>
      </c>
      <c r="F33" s="297"/>
    </row>
    <row r="34" spans="1:6" ht="16.95" customHeight="1" x14ac:dyDescent="0.25">
      <c r="A34" s="327"/>
      <c r="B34" s="324"/>
      <c r="C34" s="322"/>
      <c r="D34" s="308" t="s">
        <v>27</v>
      </c>
      <c r="E34" s="282">
        <v>2218277.17</v>
      </c>
      <c r="F34" s="297"/>
    </row>
    <row r="35" spans="1:6" ht="16.95" customHeight="1" x14ac:dyDescent="0.25">
      <c r="A35" s="327"/>
      <c r="B35" s="324"/>
      <c r="C35" s="322"/>
      <c r="D35" s="308" t="s">
        <v>28</v>
      </c>
      <c r="E35" s="300">
        <v>452638.79</v>
      </c>
      <c r="F35" s="297"/>
    </row>
    <row r="36" spans="1:6" ht="16.95" customHeight="1" x14ac:dyDescent="0.25">
      <c r="A36" s="327"/>
      <c r="B36" s="324"/>
      <c r="C36" s="322"/>
      <c r="D36" s="308" t="s">
        <v>29</v>
      </c>
      <c r="E36" s="300">
        <v>498576.42</v>
      </c>
      <c r="F36" s="297"/>
    </row>
    <row r="37" spans="1:6" ht="16.95" customHeight="1" x14ac:dyDescent="0.25">
      <c r="A37" s="327"/>
      <c r="B37" s="324"/>
      <c r="C37" s="322"/>
      <c r="D37" s="308" t="s">
        <v>30</v>
      </c>
      <c r="E37" s="300">
        <v>768107.44</v>
      </c>
      <c r="F37" s="297"/>
    </row>
    <row r="38" spans="1:6" ht="16.95" customHeight="1" x14ac:dyDescent="0.25">
      <c r="A38" s="327"/>
      <c r="B38" s="324"/>
      <c r="C38" s="322"/>
      <c r="D38" s="308" t="s">
        <v>24</v>
      </c>
      <c r="E38" s="300">
        <v>6537367.29</v>
      </c>
      <c r="F38" s="297"/>
    </row>
    <row r="39" spans="1:6" ht="16.95" customHeight="1" x14ac:dyDescent="0.25">
      <c r="A39" s="327"/>
      <c r="B39" s="324"/>
      <c r="C39" s="322"/>
      <c r="D39" s="308" t="s">
        <v>31</v>
      </c>
      <c r="E39" s="300">
        <v>4900694.5599999996</v>
      </c>
      <c r="F39" s="297"/>
    </row>
    <row r="40" spans="1:6" ht="16.95" customHeight="1" x14ac:dyDescent="0.25">
      <c r="A40" s="327"/>
      <c r="B40" s="324"/>
      <c r="C40" s="322"/>
      <c r="D40" s="308" t="s">
        <v>32</v>
      </c>
      <c r="E40" s="300">
        <v>399817.36</v>
      </c>
      <c r="F40" s="297"/>
    </row>
    <row r="41" spans="1:6" ht="16.95" customHeight="1" x14ac:dyDescent="0.25">
      <c r="A41" s="328"/>
      <c r="B41" s="325"/>
      <c r="C41" s="320"/>
      <c r="D41" s="308" t="s">
        <v>18</v>
      </c>
      <c r="E41" s="300">
        <v>16241471.869999999</v>
      </c>
      <c r="F41" s="297"/>
    </row>
    <row r="42" spans="1:6" ht="16.95" customHeight="1" x14ac:dyDescent="0.25">
      <c r="A42" s="326">
        <v>7</v>
      </c>
      <c r="B42" s="337" t="s">
        <v>863</v>
      </c>
      <c r="C42" s="330">
        <v>59</v>
      </c>
      <c r="D42" s="308" t="s">
        <v>33</v>
      </c>
      <c r="E42" s="300">
        <v>1323903.43</v>
      </c>
      <c r="F42" s="297"/>
    </row>
    <row r="43" spans="1:6" ht="16.95" customHeight="1" x14ac:dyDescent="0.25">
      <c r="A43" s="328"/>
      <c r="B43" s="321"/>
      <c r="C43" s="330"/>
      <c r="D43" s="308" t="s">
        <v>18</v>
      </c>
      <c r="E43" s="300">
        <v>1323903.43</v>
      </c>
      <c r="F43" s="297"/>
    </row>
    <row r="44" spans="1:6" ht="16.95" customHeight="1" x14ac:dyDescent="0.25">
      <c r="A44" s="326">
        <v>8</v>
      </c>
      <c r="B44" s="323" t="s">
        <v>34</v>
      </c>
      <c r="C44" s="319">
        <v>71</v>
      </c>
      <c r="D44" s="308" t="s">
        <v>22</v>
      </c>
      <c r="E44" s="282">
        <v>2377151.2400000002</v>
      </c>
      <c r="F44" s="297"/>
    </row>
    <row r="45" spans="1:6" ht="16.95" customHeight="1" x14ac:dyDescent="0.25">
      <c r="A45" s="327"/>
      <c r="B45" s="324"/>
      <c r="C45" s="322"/>
      <c r="D45" s="308" t="s">
        <v>17</v>
      </c>
      <c r="E45" s="282">
        <v>124000</v>
      </c>
      <c r="F45" s="297"/>
    </row>
    <row r="46" spans="1:6" ht="16.95" customHeight="1" x14ac:dyDescent="0.25">
      <c r="A46" s="328"/>
      <c r="B46" s="325"/>
      <c r="C46" s="320"/>
      <c r="D46" s="308" t="s">
        <v>18</v>
      </c>
      <c r="E46" s="282">
        <v>2501151.2400000002</v>
      </c>
      <c r="F46" s="297"/>
    </row>
    <row r="47" spans="1:6" ht="16.95" customHeight="1" x14ac:dyDescent="0.25">
      <c r="A47" s="326">
        <v>9</v>
      </c>
      <c r="B47" s="323" t="s">
        <v>34</v>
      </c>
      <c r="C47" s="319">
        <v>73</v>
      </c>
      <c r="D47" s="308" t="s">
        <v>22</v>
      </c>
      <c r="E47" s="282">
        <v>2377151.2400000002</v>
      </c>
      <c r="F47" s="297"/>
    </row>
    <row r="48" spans="1:6" ht="16.95" customHeight="1" x14ac:dyDescent="0.25">
      <c r="A48" s="327"/>
      <c r="B48" s="324"/>
      <c r="C48" s="322"/>
      <c r="D48" s="308" t="s">
        <v>17</v>
      </c>
      <c r="E48" s="282">
        <v>124000</v>
      </c>
      <c r="F48" s="297"/>
    </row>
    <row r="49" spans="1:6" ht="16.95" customHeight="1" x14ac:dyDescent="0.25">
      <c r="A49" s="328"/>
      <c r="B49" s="325"/>
      <c r="C49" s="320"/>
      <c r="D49" s="308" t="s">
        <v>18</v>
      </c>
      <c r="E49" s="282">
        <v>2501151.2400000002</v>
      </c>
      <c r="F49" s="297"/>
    </row>
    <row r="50" spans="1:6" ht="16.95" customHeight="1" x14ac:dyDescent="0.25">
      <c r="A50" s="326">
        <v>10</v>
      </c>
      <c r="B50" s="323" t="s">
        <v>34</v>
      </c>
      <c r="C50" s="319">
        <v>80</v>
      </c>
      <c r="D50" s="308" t="s">
        <v>22</v>
      </c>
      <c r="E50" s="282">
        <v>2377151.2400000002</v>
      </c>
      <c r="F50" s="297"/>
    </row>
    <row r="51" spans="1:6" ht="16.95" customHeight="1" x14ac:dyDescent="0.25">
      <c r="A51" s="327"/>
      <c r="B51" s="324"/>
      <c r="C51" s="322"/>
      <c r="D51" s="308" t="s">
        <v>17</v>
      </c>
      <c r="E51" s="282">
        <v>124000</v>
      </c>
      <c r="F51" s="297"/>
    </row>
    <row r="52" spans="1:6" ht="16.95" customHeight="1" x14ac:dyDescent="0.25">
      <c r="A52" s="328"/>
      <c r="B52" s="325"/>
      <c r="C52" s="320"/>
      <c r="D52" s="308" t="s">
        <v>18</v>
      </c>
      <c r="E52" s="282">
        <v>2501151.2400000002</v>
      </c>
      <c r="F52" s="297"/>
    </row>
    <row r="53" spans="1:6" ht="16.95" customHeight="1" x14ac:dyDescent="0.25">
      <c r="A53" s="329">
        <v>11</v>
      </c>
      <c r="B53" s="323" t="s">
        <v>34</v>
      </c>
      <c r="C53" s="330">
        <v>82</v>
      </c>
      <c r="D53" s="308" t="s">
        <v>22</v>
      </c>
      <c r="E53" s="282">
        <v>2377151.2400000002</v>
      </c>
      <c r="F53" s="297"/>
    </row>
    <row r="54" spans="1:6" ht="16.95" customHeight="1" x14ac:dyDescent="0.25">
      <c r="A54" s="329"/>
      <c r="B54" s="325"/>
      <c r="C54" s="330"/>
      <c r="D54" s="308" t="s">
        <v>17</v>
      </c>
      <c r="E54" s="282">
        <v>124000</v>
      </c>
      <c r="F54" s="297"/>
    </row>
    <row r="55" spans="1:6" ht="16.95" customHeight="1" x14ac:dyDescent="0.25">
      <c r="A55" s="298">
        <v>1</v>
      </c>
      <c r="B55" s="285">
        <v>2</v>
      </c>
      <c r="C55" s="285">
        <v>3</v>
      </c>
      <c r="D55" s="298">
        <v>4</v>
      </c>
      <c r="E55" s="299">
        <v>5</v>
      </c>
      <c r="F55" s="297"/>
    </row>
    <row r="56" spans="1:6" ht="16.95" customHeight="1" x14ac:dyDescent="0.25">
      <c r="A56" s="301"/>
      <c r="B56" s="288"/>
      <c r="C56" s="288"/>
      <c r="D56" s="308" t="s">
        <v>18</v>
      </c>
      <c r="E56" s="282">
        <v>2501151.2400000002</v>
      </c>
      <c r="F56" s="297"/>
    </row>
    <row r="57" spans="1:6" ht="16.95" customHeight="1" x14ac:dyDescent="0.25">
      <c r="A57" s="326">
        <v>12</v>
      </c>
      <c r="B57" s="323" t="s">
        <v>34</v>
      </c>
      <c r="C57" s="319">
        <v>88</v>
      </c>
      <c r="D57" s="308" t="s">
        <v>22</v>
      </c>
      <c r="E57" s="282">
        <v>2377151.2400000002</v>
      </c>
      <c r="F57" s="297"/>
    </row>
    <row r="58" spans="1:6" ht="16.95" customHeight="1" x14ac:dyDescent="0.25">
      <c r="A58" s="327"/>
      <c r="B58" s="324"/>
      <c r="C58" s="322"/>
      <c r="D58" s="308" t="s">
        <v>17</v>
      </c>
      <c r="E58" s="282">
        <v>124000</v>
      </c>
      <c r="F58" s="297"/>
    </row>
    <row r="59" spans="1:6" ht="16.95" customHeight="1" x14ac:dyDescent="0.25">
      <c r="A59" s="328"/>
      <c r="B59" s="325"/>
      <c r="C59" s="320"/>
      <c r="D59" s="308" t="s">
        <v>18</v>
      </c>
      <c r="E59" s="282">
        <v>2501151.2400000002</v>
      </c>
      <c r="F59" s="297"/>
    </row>
    <row r="60" spans="1:6" ht="16.95" customHeight="1" x14ac:dyDescent="0.25">
      <c r="A60" s="326">
        <v>13</v>
      </c>
      <c r="B60" s="323" t="s">
        <v>34</v>
      </c>
      <c r="C60" s="319">
        <v>89</v>
      </c>
      <c r="D60" s="308" t="s">
        <v>22</v>
      </c>
      <c r="E60" s="282">
        <v>2377151.2400000002</v>
      </c>
      <c r="F60" s="297"/>
    </row>
    <row r="61" spans="1:6" ht="16.95" customHeight="1" x14ac:dyDescent="0.25">
      <c r="A61" s="327"/>
      <c r="B61" s="324"/>
      <c r="C61" s="322"/>
      <c r="D61" s="308" t="s">
        <v>17</v>
      </c>
      <c r="E61" s="282">
        <v>124000</v>
      </c>
      <c r="F61" s="297"/>
    </row>
    <row r="62" spans="1:6" ht="16.95" customHeight="1" x14ac:dyDescent="0.25">
      <c r="A62" s="328"/>
      <c r="B62" s="325"/>
      <c r="C62" s="320"/>
      <c r="D62" s="308" t="s">
        <v>18</v>
      </c>
      <c r="E62" s="282">
        <v>2501151.2400000002</v>
      </c>
      <c r="F62" s="297"/>
    </row>
    <row r="63" spans="1:6" ht="16.95" customHeight="1" x14ac:dyDescent="0.25">
      <c r="A63" s="326">
        <v>14</v>
      </c>
      <c r="B63" s="323" t="s">
        <v>35</v>
      </c>
      <c r="C63" s="319">
        <v>26</v>
      </c>
      <c r="D63" s="308" t="s">
        <v>22</v>
      </c>
      <c r="E63" s="282">
        <v>2377151.2400000002</v>
      </c>
      <c r="F63" s="297"/>
    </row>
    <row r="64" spans="1:6" ht="16.95" customHeight="1" x14ac:dyDescent="0.25">
      <c r="A64" s="327"/>
      <c r="B64" s="324"/>
      <c r="C64" s="322"/>
      <c r="D64" s="308" t="s">
        <v>17</v>
      </c>
      <c r="E64" s="282">
        <v>124000</v>
      </c>
      <c r="F64" s="297"/>
    </row>
    <row r="65" spans="1:6" ht="16.95" customHeight="1" x14ac:dyDescent="0.25">
      <c r="A65" s="328"/>
      <c r="B65" s="325"/>
      <c r="C65" s="320"/>
      <c r="D65" s="308" t="s">
        <v>18</v>
      </c>
      <c r="E65" s="282">
        <v>2501151.2400000002</v>
      </c>
      <c r="F65" s="297"/>
    </row>
    <row r="66" spans="1:6" ht="16.95" customHeight="1" x14ac:dyDescent="0.25">
      <c r="A66" s="326">
        <v>15</v>
      </c>
      <c r="B66" s="323" t="s">
        <v>35</v>
      </c>
      <c r="C66" s="319">
        <v>28</v>
      </c>
      <c r="D66" s="308" t="s">
        <v>22</v>
      </c>
      <c r="E66" s="282">
        <v>2377151.2400000002</v>
      </c>
      <c r="F66" s="297"/>
    </row>
    <row r="67" spans="1:6" ht="16.95" customHeight="1" x14ac:dyDescent="0.25">
      <c r="A67" s="327"/>
      <c r="B67" s="324"/>
      <c r="C67" s="322"/>
      <c r="D67" s="308" t="s">
        <v>17</v>
      </c>
      <c r="E67" s="282">
        <v>124000</v>
      </c>
      <c r="F67" s="297"/>
    </row>
    <row r="68" spans="1:6" ht="16.95" customHeight="1" x14ac:dyDescent="0.25">
      <c r="A68" s="328"/>
      <c r="B68" s="325"/>
      <c r="C68" s="320"/>
      <c r="D68" s="308" t="s">
        <v>18</v>
      </c>
      <c r="E68" s="282">
        <v>2501151.2400000002</v>
      </c>
      <c r="F68" s="297"/>
    </row>
    <row r="69" spans="1:6" ht="16.95" customHeight="1" x14ac:dyDescent="0.25">
      <c r="A69" s="326">
        <v>16</v>
      </c>
      <c r="B69" s="323" t="s">
        <v>35</v>
      </c>
      <c r="C69" s="319" t="s">
        <v>36</v>
      </c>
      <c r="D69" s="308" t="s">
        <v>22</v>
      </c>
      <c r="E69" s="282">
        <v>2377151.2400000002</v>
      </c>
      <c r="F69" s="297"/>
    </row>
    <row r="70" spans="1:6" ht="16.95" customHeight="1" x14ac:dyDescent="0.25">
      <c r="A70" s="327"/>
      <c r="B70" s="324"/>
      <c r="C70" s="322"/>
      <c r="D70" s="308" t="s">
        <v>17</v>
      </c>
      <c r="E70" s="282">
        <v>124000</v>
      </c>
      <c r="F70" s="297"/>
    </row>
    <row r="71" spans="1:6" ht="16.95" customHeight="1" x14ac:dyDescent="0.25">
      <c r="A71" s="328"/>
      <c r="B71" s="325"/>
      <c r="C71" s="320"/>
      <c r="D71" s="308" t="s">
        <v>18</v>
      </c>
      <c r="E71" s="282">
        <v>2501151.2400000002</v>
      </c>
      <c r="F71" s="297"/>
    </row>
    <row r="72" spans="1:6" ht="16.95" customHeight="1" x14ac:dyDescent="0.25">
      <c r="A72" s="326">
        <v>17</v>
      </c>
      <c r="B72" s="323" t="s">
        <v>35</v>
      </c>
      <c r="C72" s="319" t="s">
        <v>37</v>
      </c>
      <c r="D72" s="308" t="s">
        <v>22</v>
      </c>
      <c r="E72" s="282">
        <v>2377151.2400000002</v>
      </c>
      <c r="F72" s="297"/>
    </row>
    <row r="73" spans="1:6" ht="16.95" customHeight="1" x14ac:dyDescent="0.25">
      <c r="A73" s="327"/>
      <c r="B73" s="324"/>
      <c r="C73" s="322"/>
      <c r="D73" s="308" t="s">
        <v>17</v>
      </c>
      <c r="E73" s="282">
        <v>124000</v>
      </c>
      <c r="F73" s="297"/>
    </row>
    <row r="74" spans="1:6" ht="16.95" customHeight="1" x14ac:dyDescent="0.25">
      <c r="A74" s="328"/>
      <c r="B74" s="325"/>
      <c r="C74" s="320"/>
      <c r="D74" s="308" t="s">
        <v>18</v>
      </c>
      <c r="E74" s="282">
        <v>2501151.2400000002</v>
      </c>
      <c r="F74" s="297"/>
    </row>
    <row r="75" spans="1:6" ht="16.95" customHeight="1" x14ac:dyDescent="0.25">
      <c r="A75" s="326">
        <v>18</v>
      </c>
      <c r="B75" s="323" t="s">
        <v>35</v>
      </c>
      <c r="C75" s="319" t="s">
        <v>38</v>
      </c>
      <c r="D75" s="308" t="s">
        <v>22</v>
      </c>
      <c r="E75" s="282">
        <v>2377151.2400000002</v>
      </c>
      <c r="F75" s="297"/>
    </row>
    <row r="76" spans="1:6" ht="16.95" customHeight="1" x14ac:dyDescent="0.25">
      <c r="A76" s="327"/>
      <c r="B76" s="324"/>
      <c r="C76" s="322"/>
      <c r="D76" s="308" t="s">
        <v>17</v>
      </c>
      <c r="E76" s="282">
        <v>124000</v>
      </c>
      <c r="F76" s="297"/>
    </row>
    <row r="77" spans="1:6" ht="16.95" customHeight="1" x14ac:dyDescent="0.25">
      <c r="A77" s="328"/>
      <c r="B77" s="325"/>
      <c r="C77" s="320"/>
      <c r="D77" s="308" t="s">
        <v>18</v>
      </c>
      <c r="E77" s="282">
        <v>2501151.2400000002</v>
      </c>
      <c r="F77" s="297"/>
    </row>
    <row r="78" spans="1:6" ht="16.95" customHeight="1" x14ac:dyDescent="0.25">
      <c r="A78" s="326">
        <v>19</v>
      </c>
      <c r="B78" s="323" t="s">
        <v>35</v>
      </c>
      <c r="C78" s="319" t="s">
        <v>39</v>
      </c>
      <c r="D78" s="308" t="s">
        <v>22</v>
      </c>
      <c r="E78" s="282">
        <v>2377151.2400000002</v>
      </c>
      <c r="F78" s="297"/>
    </row>
    <row r="79" spans="1:6" ht="16.95" customHeight="1" x14ac:dyDescent="0.25">
      <c r="A79" s="327"/>
      <c r="B79" s="324"/>
      <c r="C79" s="322"/>
      <c r="D79" s="309" t="s">
        <v>17</v>
      </c>
      <c r="E79" s="302">
        <v>124000</v>
      </c>
      <c r="F79" s="297"/>
    </row>
    <row r="80" spans="1:6" ht="16.95" customHeight="1" x14ac:dyDescent="0.25">
      <c r="A80" s="328"/>
      <c r="B80" s="325"/>
      <c r="C80" s="320"/>
      <c r="D80" s="308" t="s">
        <v>18</v>
      </c>
      <c r="E80" s="282">
        <v>2501151.2400000002</v>
      </c>
      <c r="F80" s="297"/>
    </row>
    <row r="81" spans="1:6" ht="16.95" customHeight="1" x14ac:dyDescent="0.25">
      <c r="A81" s="326">
        <v>20</v>
      </c>
      <c r="B81" s="323" t="s">
        <v>35</v>
      </c>
      <c r="C81" s="319" t="s">
        <v>40</v>
      </c>
      <c r="D81" s="308" t="s">
        <v>22</v>
      </c>
      <c r="E81" s="282">
        <v>2377151.2400000002</v>
      </c>
      <c r="F81" s="297"/>
    </row>
    <row r="82" spans="1:6" ht="16.95" customHeight="1" x14ac:dyDescent="0.25">
      <c r="A82" s="327"/>
      <c r="B82" s="324"/>
      <c r="C82" s="322"/>
      <c r="D82" s="308" t="s">
        <v>17</v>
      </c>
      <c r="E82" s="282">
        <v>124000</v>
      </c>
      <c r="F82" s="297"/>
    </row>
    <row r="83" spans="1:6" ht="16.95" customHeight="1" x14ac:dyDescent="0.25">
      <c r="A83" s="328"/>
      <c r="B83" s="325"/>
      <c r="C83" s="320"/>
      <c r="D83" s="308" t="s">
        <v>18</v>
      </c>
      <c r="E83" s="282">
        <v>2501151.2400000002</v>
      </c>
      <c r="F83" s="297"/>
    </row>
    <row r="84" spans="1:6" ht="16.95" customHeight="1" x14ac:dyDescent="0.25">
      <c r="A84" s="298">
        <v>1</v>
      </c>
      <c r="B84" s="285">
        <v>2</v>
      </c>
      <c r="C84" s="285">
        <v>3</v>
      </c>
      <c r="D84" s="298">
        <v>4</v>
      </c>
      <c r="E84" s="299">
        <v>5</v>
      </c>
      <c r="F84" s="297"/>
    </row>
    <row r="85" spans="1:6" ht="16.95" customHeight="1" x14ac:dyDescent="0.25">
      <c r="A85" s="326">
        <v>21</v>
      </c>
      <c r="B85" s="323" t="s">
        <v>35</v>
      </c>
      <c r="C85" s="319">
        <v>36</v>
      </c>
      <c r="D85" s="308" t="s">
        <v>22</v>
      </c>
      <c r="E85" s="282">
        <v>2377151.2400000002</v>
      </c>
      <c r="F85" s="297"/>
    </row>
    <row r="86" spans="1:6" ht="16.95" customHeight="1" x14ac:dyDescent="0.25">
      <c r="A86" s="327"/>
      <c r="B86" s="324"/>
      <c r="C86" s="322"/>
      <c r="D86" s="308" t="s">
        <v>17</v>
      </c>
      <c r="E86" s="282">
        <v>124000</v>
      </c>
      <c r="F86" s="297"/>
    </row>
    <row r="87" spans="1:6" ht="16.95" customHeight="1" x14ac:dyDescent="0.25">
      <c r="A87" s="328"/>
      <c r="B87" s="325"/>
      <c r="C87" s="320"/>
      <c r="D87" s="308" t="s">
        <v>18</v>
      </c>
      <c r="E87" s="282">
        <v>2501151.2400000002</v>
      </c>
      <c r="F87" s="297"/>
    </row>
    <row r="88" spans="1:6" ht="16.95" customHeight="1" x14ac:dyDescent="0.25">
      <c r="A88" s="326">
        <v>22</v>
      </c>
      <c r="B88" s="323" t="s">
        <v>35</v>
      </c>
      <c r="C88" s="319">
        <v>38</v>
      </c>
      <c r="D88" s="308" t="s">
        <v>22</v>
      </c>
      <c r="E88" s="282">
        <v>2377151.2400000002</v>
      </c>
      <c r="F88" s="297"/>
    </row>
    <row r="89" spans="1:6" ht="16.95" customHeight="1" x14ac:dyDescent="0.25">
      <c r="A89" s="327"/>
      <c r="B89" s="324"/>
      <c r="C89" s="322"/>
      <c r="D89" s="308" t="s">
        <v>17</v>
      </c>
      <c r="E89" s="282">
        <v>124000</v>
      </c>
      <c r="F89" s="297"/>
    </row>
    <row r="90" spans="1:6" ht="16.95" customHeight="1" x14ac:dyDescent="0.25">
      <c r="A90" s="328"/>
      <c r="B90" s="325"/>
      <c r="C90" s="320"/>
      <c r="D90" s="308" t="s">
        <v>18</v>
      </c>
      <c r="E90" s="282">
        <v>2501151.2400000002</v>
      </c>
      <c r="F90" s="297"/>
    </row>
    <row r="91" spans="1:6" ht="16.95" customHeight="1" x14ac:dyDescent="0.25">
      <c r="A91" s="326">
        <v>23</v>
      </c>
      <c r="B91" s="323" t="s">
        <v>35</v>
      </c>
      <c r="C91" s="319">
        <v>40</v>
      </c>
      <c r="D91" s="308" t="s">
        <v>22</v>
      </c>
      <c r="E91" s="282">
        <v>2377151.2400000002</v>
      </c>
      <c r="F91" s="297"/>
    </row>
    <row r="92" spans="1:6" ht="16.95" customHeight="1" x14ac:dyDescent="0.25">
      <c r="A92" s="327"/>
      <c r="B92" s="324"/>
      <c r="C92" s="322"/>
      <c r="D92" s="308" t="s">
        <v>17</v>
      </c>
      <c r="E92" s="282">
        <v>124000</v>
      </c>
      <c r="F92" s="297"/>
    </row>
    <row r="93" spans="1:6" ht="16.95" customHeight="1" x14ac:dyDescent="0.25">
      <c r="A93" s="328"/>
      <c r="B93" s="325"/>
      <c r="C93" s="320"/>
      <c r="D93" s="308" t="s">
        <v>18</v>
      </c>
      <c r="E93" s="282">
        <v>2501151.2400000002</v>
      </c>
      <c r="F93" s="297"/>
    </row>
    <row r="94" spans="1:6" ht="16.95" customHeight="1" x14ac:dyDescent="0.25">
      <c r="A94" s="326">
        <v>24</v>
      </c>
      <c r="B94" s="323" t="s">
        <v>41</v>
      </c>
      <c r="C94" s="319">
        <v>3</v>
      </c>
      <c r="D94" s="308" t="s">
        <v>22</v>
      </c>
      <c r="E94" s="282">
        <v>2377151.2400000002</v>
      </c>
      <c r="F94" s="297"/>
    </row>
    <row r="95" spans="1:6" ht="16.95" customHeight="1" x14ac:dyDescent="0.25">
      <c r="A95" s="327"/>
      <c r="B95" s="324"/>
      <c r="C95" s="322"/>
      <c r="D95" s="308" t="s">
        <v>17</v>
      </c>
      <c r="E95" s="282">
        <v>124000</v>
      </c>
      <c r="F95" s="297"/>
    </row>
    <row r="96" spans="1:6" ht="16.95" customHeight="1" x14ac:dyDescent="0.25">
      <c r="A96" s="328"/>
      <c r="B96" s="325"/>
      <c r="C96" s="320"/>
      <c r="D96" s="308" t="s">
        <v>18</v>
      </c>
      <c r="E96" s="282">
        <v>2501151.2400000002</v>
      </c>
      <c r="F96" s="297"/>
    </row>
    <row r="97" spans="1:6" ht="16.95" customHeight="1" x14ac:dyDescent="0.25">
      <c r="A97" s="326">
        <v>25</v>
      </c>
      <c r="B97" s="323" t="s">
        <v>41</v>
      </c>
      <c r="C97" s="319">
        <v>5</v>
      </c>
      <c r="D97" s="308" t="s">
        <v>22</v>
      </c>
      <c r="E97" s="282">
        <v>2377151.2400000002</v>
      </c>
      <c r="F97" s="297"/>
    </row>
    <row r="98" spans="1:6" ht="16.95" customHeight="1" x14ac:dyDescent="0.25">
      <c r="A98" s="327"/>
      <c r="B98" s="324"/>
      <c r="C98" s="322"/>
      <c r="D98" s="308" t="s">
        <v>17</v>
      </c>
      <c r="E98" s="282">
        <v>124000</v>
      </c>
      <c r="F98" s="297"/>
    </row>
    <row r="99" spans="1:6" ht="16.95" customHeight="1" x14ac:dyDescent="0.25">
      <c r="A99" s="328"/>
      <c r="B99" s="325"/>
      <c r="C99" s="320"/>
      <c r="D99" s="308" t="s">
        <v>18</v>
      </c>
      <c r="E99" s="282">
        <v>2501151.2400000002</v>
      </c>
      <c r="F99" s="297"/>
    </row>
    <row r="100" spans="1:6" ht="16.95" customHeight="1" x14ac:dyDescent="0.25">
      <c r="A100" s="326">
        <v>26</v>
      </c>
      <c r="B100" s="323" t="s">
        <v>41</v>
      </c>
      <c r="C100" s="319">
        <v>9</v>
      </c>
      <c r="D100" s="308" t="s">
        <v>22</v>
      </c>
      <c r="E100" s="282">
        <v>2377151.2400000002</v>
      </c>
      <c r="F100" s="297"/>
    </row>
    <row r="101" spans="1:6" ht="16.95" customHeight="1" x14ac:dyDescent="0.25">
      <c r="A101" s="327"/>
      <c r="B101" s="324"/>
      <c r="C101" s="322"/>
      <c r="D101" s="308" t="s">
        <v>17</v>
      </c>
      <c r="E101" s="282">
        <v>124000</v>
      </c>
      <c r="F101" s="297"/>
    </row>
    <row r="102" spans="1:6" ht="16.95" customHeight="1" x14ac:dyDescent="0.25">
      <c r="A102" s="328"/>
      <c r="B102" s="325"/>
      <c r="C102" s="320"/>
      <c r="D102" s="308" t="s">
        <v>18</v>
      </c>
      <c r="E102" s="282">
        <v>2501151.2400000002</v>
      </c>
      <c r="F102" s="297"/>
    </row>
    <row r="103" spans="1:6" ht="16.95" customHeight="1" x14ac:dyDescent="0.25">
      <c r="A103" s="326">
        <v>27</v>
      </c>
      <c r="B103" s="323" t="s">
        <v>41</v>
      </c>
      <c r="C103" s="319">
        <v>11</v>
      </c>
      <c r="D103" s="308" t="s">
        <v>22</v>
      </c>
      <c r="E103" s="282">
        <v>2377151.2400000002</v>
      </c>
      <c r="F103" s="297"/>
    </row>
    <row r="104" spans="1:6" ht="16.95" customHeight="1" x14ac:dyDescent="0.25">
      <c r="A104" s="327"/>
      <c r="B104" s="324"/>
      <c r="C104" s="322"/>
      <c r="D104" s="308" t="s">
        <v>17</v>
      </c>
      <c r="E104" s="282">
        <v>124000</v>
      </c>
      <c r="F104" s="297"/>
    </row>
    <row r="105" spans="1:6" ht="16.95" customHeight="1" x14ac:dyDescent="0.25">
      <c r="A105" s="328"/>
      <c r="B105" s="325"/>
      <c r="C105" s="320"/>
      <c r="D105" s="308" t="s">
        <v>18</v>
      </c>
      <c r="E105" s="282">
        <v>2501151.2400000002</v>
      </c>
      <c r="F105" s="297"/>
    </row>
    <row r="106" spans="1:6" ht="16.95" customHeight="1" x14ac:dyDescent="0.25">
      <c r="A106" s="326">
        <v>28</v>
      </c>
      <c r="B106" s="323" t="s">
        <v>41</v>
      </c>
      <c r="C106" s="319">
        <v>18</v>
      </c>
      <c r="D106" s="308" t="s">
        <v>22</v>
      </c>
      <c r="E106" s="282">
        <v>2377151.2400000002</v>
      </c>
      <c r="F106" s="297"/>
    </row>
    <row r="107" spans="1:6" ht="16.95" customHeight="1" x14ac:dyDescent="0.25">
      <c r="A107" s="327"/>
      <c r="B107" s="324"/>
      <c r="C107" s="322"/>
      <c r="D107" s="308" t="s">
        <v>17</v>
      </c>
      <c r="E107" s="282">
        <v>124000</v>
      </c>
      <c r="F107" s="297"/>
    </row>
    <row r="108" spans="1:6" ht="16.95" customHeight="1" x14ac:dyDescent="0.25">
      <c r="A108" s="328"/>
      <c r="B108" s="325"/>
      <c r="C108" s="320"/>
      <c r="D108" s="308" t="s">
        <v>18</v>
      </c>
      <c r="E108" s="282">
        <v>2501151.2400000002</v>
      </c>
      <c r="F108" s="297"/>
    </row>
    <row r="109" spans="1:6" ht="16.95" customHeight="1" x14ac:dyDescent="0.25">
      <c r="A109" s="326">
        <v>29</v>
      </c>
      <c r="B109" s="321" t="s">
        <v>41</v>
      </c>
      <c r="C109" s="330" t="s">
        <v>43</v>
      </c>
      <c r="D109" s="308" t="s">
        <v>24</v>
      </c>
      <c r="E109" s="300">
        <v>15638645.640000001</v>
      </c>
      <c r="F109" s="297"/>
    </row>
    <row r="110" spans="1:6" ht="16.95" customHeight="1" x14ac:dyDescent="0.25">
      <c r="A110" s="327"/>
      <c r="B110" s="321"/>
      <c r="C110" s="330"/>
      <c r="D110" s="308" t="s">
        <v>32</v>
      </c>
      <c r="E110" s="300">
        <v>742257.6</v>
      </c>
      <c r="F110" s="297"/>
    </row>
    <row r="111" spans="1:6" ht="16.95" customHeight="1" x14ac:dyDescent="0.25">
      <c r="A111" s="328"/>
      <c r="B111" s="321"/>
      <c r="C111" s="330"/>
      <c r="D111" s="308" t="s">
        <v>18</v>
      </c>
      <c r="E111" s="300">
        <v>16380903.24</v>
      </c>
      <c r="F111" s="297"/>
    </row>
    <row r="112" spans="1:6" ht="16.95" customHeight="1" x14ac:dyDescent="0.25">
      <c r="A112" s="298">
        <v>30</v>
      </c>
      <c r="B112" s="286" t="s">
        <v>42</v>
      </c>
      <c r="C112" s="285">
        <v>4</v>
      </c>
      <c r="D112" s="308" t="s">
        <v>24</v>
      </c>
      <c r="E112" s="282">
        <v>6229365.1500000004</v>
      </c>
      <c r="F112" s="297"/>
    </row>
    <row r="113" spans="1:6" ht="16.95" customHeight="1" x14ac:dyDescent="0.25">
      <c r="A113" s="298">
        <v>1</v>
      </c>
      <c r="B113" s="285">
        <v>2</v>
      </c>
      <c r="C113" s="285">
        <v>3</v>
      </c>
      <c r="D113" s="298">
        <v>4</v>
      </c>
      <c r="E113" s="299">
        <v>5</v>
      </c>
      <c r="F113" s="297"/>
    </row>
    <row r="114" spans="1:6" ht="16.95" customHeight="1" x14ac:dyDescent="0.25">
      <c r="A114" s="303"/>
      <c r="B114" s="319"/>
      <c r="C114" s="319"/>
      <c r="D114" s="310" t="s">
        <v>31</v>
      </c>
      <c r="E114" s="304">
        <v>4669802.7699999996</v>
      </c>
      <c r="F114" s="297"/>
    </row>
    <row r="115" spans="1:6" ht="16.95" customHeight="1" x14ac:dyDescent="0.25">
      <c r="A115" s="303"/>
      <c r="B115" s="322"/>
      <c r="C115" s="322"/>
      <c r="D115" s="308" t="s">
        <v>33</v>
      </c>
      <c r="E115" s="282">
        <v>1006152.31</v>
      </c>
      <c r="F115" s="297"/>
    </row>
    <row r="116" spans="1:6" ht="16.95" customHeight="1" x14ac:dyDescent="0.25">
      <c r="A116" s="303"/>
      <c r="B116" s="322"/>
      <c r="C116" s="322"/>
      <c r="D116" s="308" t="s">
        <v>17</v>
      </c>
      <c r="E116" s="282">
        <v>748788.68</v>
      </c>
      <c r="F116" s="297"/>
    </row>
    <row r="117" spans="1:6" ht="16.95" customHeight="1" x14ac:dyDescent="0.25">
      <c r="A117" s="301"/>
      <c r="B117" s="320"/>
      <c r="C117" s="320"/>
      <c r="D117" s="308" t="s">
        <v>18</v>
      </c>
      <c r="E117" s="280">
        <v>12654108.91</v>
      </c>
      <c r="F117" s="297"/>
    </row>
    <row r="118" spans="1:6" ht="16.95" customHeight="1" x14ac:dyDescent="0.25">
      <c r="A118" s="326">
        <v>31</v>
      </c>
      <c r="B118" s="323" t="s">
        <v>44</v>
      </c>
      <c r="C118" s="319">
        <v>12</v>
      </c>
      <c r="D118" s="308" t="s">
        <v>22</v>
      </c>
      <c r="E118" s="282">
        <v>4754302.4800000004</v>
      </c>
      <c r="F118" s="297"/>
    </row>
    <row r="119" spans="1:6" ht="16.95" customHeight="1" x14ac:dyDescent="0.25">
      <c r="A119" s="327"/>
      <c r="B119" s="324"/>
      <c r="C119" s="322"/>
      <c r="D119" s="308" t="s">
        <v>17</v>
      </c>
      <c r="E119" s="282">
        <v>248000</v>
      </c>
      <c r="F119" s="297"/>
    </row>
    <row r="120" spans="1:6" ht="16.95" customHeight="1" x14ac:dyDescent="0.25">
      <c r="A120" s="328"/>
      <c r="B120" s="325"/>
      <c r="C120" s="320"/>
      <c r="D120" s="308" t="s">
        <v>18</v>
      </c>
      <c r="E120" s="282">
        <v>5002302.4800000004</v>
      </c>
      <c r="F120" s="297"/>
    </row>
    <row r="121" spans="1:6" ht="16.95" customHeight="1" x14ac:dyDescent="0.25">
      <c r="A121" s="326">
        <v>32</v>
      </c>
      <c r="B121" s="321" t="s">
        <v>44</v>
      </c>
      <c r="C121" s="330">
        <v>19</v>
      </c>
      <c r="D121" s="308" t="s">
        <v>24</v>
      </c>
      <c r="E121" s="300">
        <v>10377091.949999999</v>
      </c>
      <c r="F121" s="297"/>
    </row>
    <row r="122" spans="1:6" ht="16.95" customHeight="1" x14ac:dyDescent="0.25">
      <c r="A122" s="327"/>
      <c r="B122" s="321"/>
      <c r="C122" s="330"/>
      <c r="D122" s="308" t="s">
        <v>32</v>
      </c>
      <c r="E122" s="300">
        <v>685877.2</v>
      </c>
      <c r="F122" s="297"/>
    </row>
    <row r="123" spans="1:6" ht="16.95" customHeight="1" x14ac:dyDescent="0.25">
      <c r="A123" s="328"/>
      <c r="B123" s="321"/>
      <c r="C123" s="330"/>
      <c r="D123" s="308" t="s">
        <v>18</v>
      </c>
      <c r="E123" s="300">
        <v>11062969.15</v>
      </c>
      <c r="F123" s="297"/>
    </row>
    <row r="124" spans="1:6" ht="16.95" customHeight="1" x14ac:dyDescent="0.25">
      <c r="A124" s="326">
        <v>33</v>
      </c>
      <c r="B124" s="323" t="s">
        <v>44</v>
      </c>
      <c r="C124" s="319">
        <v>25</v>
      </c>
      <c r="D124" s="308" t="s">
        <v>22</v>
      </c>
      <c r="E124" s="282">
        <v>2377151.2400000002</v>
      </c>
      <c r="F124" s="297"/>
    </row>
    <row r="125" spans="1:6" ht="16.95" customHeight="1" x14ac:dyDescent="0.25">
      <c r="A125" s="327"/>
      <c r="B125" s="324"/>
      <c r="C125" s="322"/>
      <c r="D125" s="308" t="s">
        <v>17</v>
      </c>
      <c r="E125" s="282">
        <v>124000</v>
      </c>
      <c r="F125" s="297"/>
    </row>
    <row r="126" spans="1:6" ht="16.95" customHeight="1" x14ac:dyDescent="0.25">
      <c r="A126" s="328"/>
      <c r="B126" s="325"/>
      <c r="C126" s="320"/>
      <c r="D126" s="308" t="s">
        <v>18</v>
      </c>
      <c r="E126" s="282">
        <v>2501151.2400000002</v>
      </c>
      <c r="F126" s="297"/>
    </row>
    <row r="127" spans="1:6" ht="16.95" customHeight="1" x14ac:dyDescent="0.25">
      <c r="A127" s="326">
        <v>34</v>
      </c>
      <c r="B127" s="323" t="s">
        <v>44</v>
      </c>
      <c r="C127" s="319" t="s">
        <v>45</v>
      </c>
      <c r="D127" s="308" t="s">
        <v>22</v>
      </c>
      <c r="E127" s="282">
        <v>2377151.2400000002</v>
      </c>
      <c r="F127" s="297"/>
    </row>
    <row r="128" spans="1:6" ht="16.95" customHeight="1" x14ac:dyDescent="0.25">
      <c r="A128" s="327"/>
      <c r="B128" s="324"/>
      <c r="C128" s="322"/>
      <c r="D128" s="308" t="s">
        <v>17</v>
      </c>
      <c r="E128" s="282">
        <v>124000</v>
      </c>
      <c r="F128" s="297"/>
    </row>
    <row r="129" spans="1:6" ht="16.95" customHeight="1" x14ac:dyDescent="0.25">
      <c r="A129" s="328"/>
      <c r="B129" s="325"/>
      <c r="C129" s="320"/>
      <c r="D129" s="308" t="s">
        <v>18</v>
      </c>
      <c r="E129" s="282">
        <v>2501151.2400000002</v>
      </c>
      <c r="F129" s="297"/>
    </row>
    <row r="130" spans="1:6" ht="16.95" customHeight="1" x14ac:dyDescent="0.25">
      <c r="A130" s="326">
        <v>35</v>
      </c>
      <c r="B130" s="323" t="s">
        <v>44</v>
      </c>
      <c r="C130" s="319" t="s">
        <v>46</v>
      </c>
      <c r="D130" s="308" t="s">
        <v>22</v>
      </c>
      <c r="E130" s="282">
        <v>4754302.4800000004</v>
      </c>
      <c r="F130" s="297"/>
    </row>
    <row r="131" spans="1:6" ht="16.95" customHeight="1" x14ac:dyDescent="0.25">
      <c r="A131" s="327"/>
      <c r="B131" s="324"/>
      <c r="C131" s="322"/>
      <c r="D131" s="308" t="s">
        <v>17</v>
      </c>
      <c r="E131" s="282">
        <v>248000</v>
      </c>
      <c r="F131" s="297"/>
    </row>
    <row r="132" spans="1:6" ht="16.95" customHeight="1" x14ac:dyDescent="0.25">
      <c r="A132" s="328"/>
      <c r="B132" s="325"/>
      <c r="C132" s="320"/>
      <c r="D132" s="308" t="s">
        <v>18</v>
      </c>
      <c r="E132" s="282">
        <v>5002302.4800000004</v>
      </c>
      <c r="F132" s="297"/>
    </row>
    <row r="133" spans="1:6" ht="16.95" customHeight="1" x14ac:dyDescent="0.25">
      <c r="A133" s="326">
        <v>36</v>
      </c>
      <c r="B133" s="323" t="s">
        <v>44</v>
      </c>
      <c r="C133" s="319" t="s">
        <v>47</v>
      </c>
      <c r="D133" s="308" t="s">
        <v>22</v>
      </c>
      <c r="E133" s="282">
        <v>2377151.2400000002</v>
      </c>
      <c r="F133" s="297"/>
    </row>
    <row r="134" spans="1:6" ht="16.95" customHeight="1" x14ac:dyDescent="0.25">
      <c r="A134" s="327"/>
      <c r="B134" s="324"/>
      <c r="C134" s="322"/>
      <c r="D134" s="308" t="s">
        <v>17</v>
      </c>
      <c r="E134" s="282">
        <v>124000</v>
      </c>
      <c r="F134" s="297"/>
    </row>
    <row r="135" spans="1:6" ht="16.95" customHeight="1" x14ac:dyDescent="0.25">
      <c r="A135" s="328"/>
      <c r="B135" s="325"/>
      <c r="C135" s="320"/>
      <c r="D135" s="308" t="s">
        <v>18</v>
      </c>
      <c r="E135" s="282">
        <v>2501151.2400000002</v>
      </c>
      <c r="F135" s="297"/>
    </row>
    <row r="136" spans="1:6" ht="16.95" customHeight="1" x14ac:dyDescent="0.25">
      <c r="A136" s="326">
        <v>37</v>
      </c>
      <c r="B136" s="323" t="s">
        <v>44</v>
      </c>
      <c r="C136" s="319" t="s">
        <v>48</v>
      </c>
      <c r="D136" s="308" t="s">
        <v>22</v>
      </c>
      <c r="E136" s="282">
        <v>2377151.2400000002</v>
      </c>
      <c r="F136" s="297"/>
    </row>
    <row r="137" spans="1:6" ht="16.95" customHeight="1" x14ac:dyDescent="0.25">
      <c r="A137" s="327"/>
      <c r="B137" s="324"/>
      <c r="C137" s="322"/>
      <c r="D137" s="308" t="s">
        <v>17</v>
      </c>
      <c r="E137" s="282">
        <v>124000</v>
      </c>
      <c r="F137" s="297"/>
    </row>
    <row r="138" spans="1:6" ht="16.95" customHeight="1" x14ac:dyDescent="0.25">
      <c r="A138" s="328"/>
      <c r="B138" s="325"/>
      <c r="C138" s="320"/>
      <c r="D138" s="308" t="s">
        <v>18</v>
      </c>
      <c r="E138" s="282">
        <v>2501151.2400000002</v>
      </c>
      <c r="F138" s="297"/>
    </row>
    <row r="139" spans="1:6" ht="16.95" customHeight="1" x14ac:dyDescent="0.25">
      <c r="A139" s="326">
        <v>38</v>
      </c>
      <c r="B139" s="323" t="s">
        <v>44</v>
      </c>
      <c r="C139" s="319">
        <v>27</v>
      </c>
      <c r="D139" s="308" t="s">
        <v>22</v>
      </c>
      <c r="E139" s="282">
        <v>2377151.2400000002</v>
      </c>
      <c r="F139" s="297"/>
    </row>
    <row r="140" spans="1:6" ht="16.95" customHeight="1" x14ac:dyDescent="0.25">
      <c r="A140" s="327"/>
      <c r="B140" s="324"/>
      <c r="C140" s="322"/>
      <c r="D140" s="308" t="s">
        <v>17</v>
      </c>
      <c r="E140" s="282">
        <v>124000</v>
      </c>
      <c r="F140" s="297"/>
    </row>
    <row r="141" spans="1:6" ht="16.95" customHeight="1" x14ac:dyDescent="0.25">
      <c r="A141" s="328"/>
      <c r="B141" s="325"/>
      <c r="C141" s="320"/>
      <c r="D141" s="308" t="s">
        <v>18</v>
      </c>
      <c r="E141" s="282">
        <v>2501151.2400000002</v>
      </c>
      <c r="F141" s="297"/>
    </row>
    <row r="142" spans="1:6" ht="16.95" customHeight="1" x14ac:dyDescent="0.25">
      <c r="A142" s="298">
        <v>1</v>
      </c>
      <c r="B142" s="285">
        <v>2</v>
      </c>
      <c r="C142" s="285">
        <v>3</v>
      </c>
      <c r="D142" s="298">
        <v>4</v>
      </c>
      <c r="E142" s="299">
        <v>5</v>
      </c>
      <c r="F142" s="297"/>
    </row>
    <row r="143" spans="1:6" ht="16.95" customHeight="1" x14ac:dyDescent="0.25">
      <c r="A143" s="326">
        <v>39</v>
      </c>
      <c r="B143" s="323" t="s">
        <v>44</v>
      </c>
      <c r="C143" s="319">
        <v>29</v>
      </c>
      <c r="D143" s="308" t="s">
        <v>22</v>
      </c>
      <c r="E143" s="282">
        <v>2377151.2400000002</v>
      </c>
      <c r="F143" s="297"/>
    </row>
    <row r="144" spans="1:6" ht="16.95" customHeight="1" x14ac:dyDescent="0.25">
      <c r="A144" s="327"/>
      <c r="B144" s="324"/>
      <c r="C144" s="322"/>
      <c r="D144" s="310" t="s">
        <v>24</v>
      </c>
      <c r="E144" s="305">
        <v>17203759.719999999</v>
      </c>
      <c r="F144" s="297"/>
    </row>
    <row r="145" spans="1:6" ht="16.95" customHeight="1" x14ac:dyDescent="0.25">
      <c r="A145" s="327"/>
      <c r="B145" s="324"/>
      <c r="C145" s="322"/>
      <c r="D145" s="308" t="s">
        <v>32</v>
      </c>
      <c r="E145" s="300">
        <v>884248.6</v>
      </c>
      <c r="F145" s="297"/>
    </row>
    <row r="146" spans="1:6" ht="16.95" customHeight="1" x14ac:dyDescent="0.25">
      <c r="A146" s="328"/>
      <c r="B146" s="325"/>
      <c r="C146" s="320"/>
      <c r="D146" s="308" t="s">
        <v>18</v>
      </c>
      <c r="E146" s="300">
        <v>20465159.559999999</v>
      </c>
      <c r="F146" s="297"/>
    </row>
    <row r="147" spans="1:6" ht="16.95" customHeight="1" x14ac:dyDescent="0.25">
      <c r="A147" s="326">
        <v>40</v>
      </c>
      <c r="B147" s="323" t="s">
        <v>44</v>
      </c>
      <c r="C147" s="319">
        <v>31</v>
      </c>
      <c r="D147" s="308" t="s">
        <v>22</v>
      </c>
      <c r="E147" s="282">
        <v>2377151.2400000002</v>
      </c>
      <c r="F147" s="297"/>
    </row>
    <row r="148" spans="1:6" ht="16.95" customHeight="1" x14ac:dyDescent="0.25">
      <c r="A148" s="327"/>
      <c r="B148" s="324"/>
      <c r="C148" s="322"/>
      <c r="D148" s="308" t="s">
        <v>17</v>
      </c>
      <c r="E148" s="282">
        <v>124000</v>
      </c>
      <c r="F148" s="297"/>
    </row>
    <row r="149" spans="1:6" ht="16.95" customHeight="1" x14ac:dyDescent="0.25">
      <c r="A149" s="328"/>
      <c r="B149" s="325"/>
      <c r="C149" s="320"/>
      <c r="D149" s="308" t="s">
        <v>18</v>
      </c>
      <c r="E149" s="282">
        <v>2501151.2400000002</v>
      </c>
      <c r="F149" s="297"/>
    </row>
    <row r="150" spans="1:6" ht="16.95" customHeight="1" x14ac:dyDescent="0.25">
      <c r="A150" s="326">
        <v>41</v>
      </c>
      <c r="B150" s="323" t="s">
        <v>44</v>
      </c>
      <c r="C150" s="319">
        <v>33</v>
      </c>
      <c r="D150" s="308" t="s">
        <v>22</v>
      </c>
      <c r="E150" s="282">
        <v>2377151.2400000002</v>
      </c>
      <c r="F150" s="297"/>
    </row>
    <row r="151" spans="1:6" ht="16.95" customHeight="1" x14ac:dyDescent="0.25">
      <c r="A151" s="327"/>
      <c r="B151" s="324"/>
      <c r="C151" s="322"/>
      <c r="D151" s="308" t="s">
        <v>17</v>
      </c>
      <c r="E151" s="282">
        <v>124000</v>
      </c>
      <c r="F151" s="297"/>
    </row>
    <row r="152" spans="1:6" ht="16.95" customHeight="1" x14ac:dyDescent="0.25">
      <c r="A152" s="328"/>
      <c r="B152" s="325"/>
      <c r="C152" s="320"/>
      <c r="D152" s="308" t="s">
        <v>18</v>
      </c>
      <c r="E152" s="282">
        <v>2501151.2400000002</v>
      </c>
      <c r="F152" s="297"/>
    </row>
    <row r="153" spans="1:6" ht="16.95" customHeight="1" x14ac:dyDescent="0.25">
      <c r="A153" s="326">
        <v>42</v>
      </c>
      <c r="B153" s="323" t="s">
        <v>44</v>
      </c>
      <c r="C153" s="319">
        <v>35</v>
      </c>
      <c r="D153" s="308" t="s">
        <v>22</v>
      </c>
      <c r="E153" s="282">
        <v>2377151.2400000002</v>
      </c>
      <c r="F153" s="297"/>
    </row>
    <row r="154" spans="1:6" ht="16.95" customHeight="1" x14ac:dyDescent="0.25">
      <c r="A154" s="327"/>
      <c r="B154" s="324"/>
      <c r="C154" s="322"/>
      <c r="D154" s="308" t="s">
        <v>17</v>
      </c>
      <c r="E154" s="282">
        <v>124000</v>
      </c>
      <c r="F154" s="297"/>
    </row>
    <row r="155" spans="1:6" ht="16.95" customHeight="1" x14ac:dyDescent="0.25">
      <c r="A155" s="328"/>
      <c r="B155" s="325"/>
      <c r="C155" s="320"/>
      <c r="D155" s="308" t="s">
        <v>18</v>
      </c>
      <c r="E155" s="282">
        <v>2501151.2400000002</v>
      </c>
      <c r="F155" s="297"/>
    </row>
    <row r="156" spans="1:6" ht="16.95" customHeight="1" x14ac:dyDescent="0.25">
      <c r="A156" s="326">
        <v>43</v>
      </c>
      <c r="B156" s="323" t="s">
        <v>44</v>
      </c>
      <c r="C156" s="319" t="s">
        <v>49</v>
      </c>
      <c r="D156" s="308" t="s">
        <v>22</v>
      </c>
      <c r="E156" s="282">
        <v>2377151.2400000002</v>
      </c>
      <c r="F156" s="297"/>
    </row>
    <row r="157" spans="1:6" ht="16.95" customHeight="1" x14ac:dyDescent="0.25">
      <c r="A157" s="327"/>
      <c r="B157" s="324"/>
      <c r="C157" s="322"/>
      <c r="D157" s="308" t="s">
        <v>17</v>
      </c>
      <c r="E157" s="282">
        <v>124000</v>
      </c>
      <c r="F157" s="297"/>
    </row>
    <row r="158" spans="1:6" ht="16.95" customHeight="1" x14ac:dyDescent="0.25">
      <c r="A158" s="328"/>
      <c r="B158" s="325"/>
      <c r="C158" s="320"/>
      <c r="D158" s="308" t="s">
        <v>18</v>
      </c>
      <c r="E158" s="282">
        <v>2501151.2400000002</v>
      </c>
      <c r="F158" s="297"/>
    </row>
    <row r="159" spans="1:6" ht="16.95" customHeight="1" x14ac:dyDescent="0.25">
      <c r="A159" s="326">
        <v>44</v>
      </c>
      <c r="B159" s="323" t="s">
        <v>44</v>
      </c>
      <c r="C159" s="319">
        <v>37</v>
      </c>
      <c r="D159" s="308" t="s">
        <v>22</v>
      </c>
      <c r="E159" s="282">
        <v>2377151.2400000002</v>
      </c>
      <c r="F159" s="297"/>
    </row>
    <row r="160" spans="1:6" ht="16.95" customHeight="1" x14ac:dyDescent="0.25">
      <c r="A160" s="327"/>
      <c r="B160" s="324"/>
      <c r="C160" s="322"/>
      <c r="D160" s="308" t="s">
        <v>17</v>
      </c>
      <c r="E160" s="282">
        <v>124000</v>
      </c>
      <c r="F160" s="297"/>
    </row>
    <row r="161" spans="1:6" ht="16.95" customHeight="1" x14ac:dyDescent="0.25">
      <c r="A161" s="328"/>
      <c r="B161" s="325"/>
      <c r="C161" s="320"/>
      <c r="D161" s="308" t="s">
        <v>18</v>
      </c>
      <c r="E161" s="282">
        <v>2501151.2400000002</v>
      </c>
      <c r="F161" s="297"/>
    </row>
    <row r="162" spans="1:6" ht="16.95" customHeight="1" x14ac:dyDescent="0.25">
      <c r="A162" s="326">
        <v>45</v>
      </c>
      <c r="B162" s="323" t="s">
        <v>44</v>
      </c>
      <c r="C162" s="319">
        <v>41</v>
      </c>
      <c r="D162" s="308" t="s">
        <v>22</v>
      </c>
      <c r="E162" s="282">
        <v>2377151.2400000002</v>
      </c>
      <c r="F162" s="297"/>
    </row>
    <row r="163" spans="1:6" ht="16.95" customHeight="1" x14ac:dyDescent="0.25">
      <c r="A163" s="327"/>
      <c r="B163" s="324"/>
      <c r="C163" s="322"/>
      <c r="D163" s="308" t="s">
        <v>17</v>
      </c>
      <c r="E163" s="282">
        <v>124000</v>
      </c>
      <c r="F163" s="297"/>
    </row>
    <row r="164" spans="1:6" ht="16.95" customHeight="1" x14ac:dyDescent="0.25">
      <c r="A164" s="328"/>
      <c r="B164" s="325"/>
      <c r="C164" s="320"/>
      <c r="D164" s="308" t="s">
        <v>18</v>
      </c>
      <c r="E164" s="282">
        <v>2501151.2400000002</v>
      </c>
      <c r="F164" s="297"/>
    </row>
    <row r="165" spans="1:6" ht="16.95" customHeight="1" x14ac:dyDescent="0.25">
      <c r="A165" s="326">
        <v>46</v>
      </c>
      <c r="B165" s="323" t="s">
        <v>44</v>
      </c>
      <c r="C165" s="319">
        <v>43</v>
      </c>
      <c r="D165" s="308" t="s">
        <v>22</v>
      </c>
      <c r="E165" s="282">
        <v>2377151.2400000002</v>
      </c>
      <c r="F165" s="297"/>
    </row>
    <row r="166" spans="1:6" ht="16.95" customHeight="1" x14ac:dyDescent="0.25">
      <c r="A166" s="327"/>
      <c r="B166" s="324"/>
      <c r="C166" s="322"/>
      <c r="D166" s="308" t="s">
        <v>17</v>
      </c>
      <c r="E166" s="282">
        <v>124000</v>
      </c>
      <c r="F166" s="297"/>
    </row>
    <row r="167" spans="1:6" ht="16.95" customHeight="1" x14ac:dyDescent="0.25">
      <c r="A167" s="328"/>
      <c r="B167" s="325"/>
      <c r="C167" s="320"/>
      <c r="D167" s="308" t="s">
        <v>18</v>
      </c>
      <c r="E167" s="282">
        <v>2501151.2400000002</v>
      </c>
      <c r="F167" s="297"/>
    </row>
    <row r="168" spans="1:6" ht="16.95" customHeight="1" x14ac:dyDescent="0.25">
      <c r="A168" s="326">
        <v>47</v>
      </c>
      <c r="B168" s="323" t="s">
        <v>44</v>
      </c>
      <c r="C168" s="319">
        <v>45</v>
      </c>
      <c r="D168" s="308" t="s">
        <v>22</v>
      </c>
      <c r="E168" s="282">
        <v>2377151.2400000002</v>
      </c>
      <c r="F168" s="297"/>
    </row>
    <row r="169" spans="1:6" ht="16.95" customHeight="1" x14ac:dyDescent="0.25">
      <c r="A169" s="327"/>
      <c r="B169" s="324"/>
      <c r="C169" s="322"/>
      <c r="D169" s="308" t="s">
        <v>17</v>
      </c>
      <c r="E169" s="282">
        <v>124000</v>
      </c>
      <c r="F169" s="297"/>
    </row>
    <row r="170" spans="1:6" ht="16.95" customHeight="1" x14ac:dyDescent="0.25">
      <c r="A170" s="328"/>
      <c r="B170" s="325"/>
      <c r="C170" s="320"/>
      <c r="D170" s="308" t="s">
        <v>18</v>
      </c>
      <c r="E170" s="282">
        <v>2501151.2400000002</v>
      </c>
      <c r="F170" s="297"/>
    </row>
    <row r="171" spans="1:6" ht="16.95" customHeight="1" x14ac:dyDescent="0.25">
      <c r="A171" s="298">
        <v>1</v>
      </c>
      <c r="B171" s="285">
        <v>2</v>
      </c>
      <c r="C171" s="285">
        <v>3</v>
      </c>
      <c r="D171" s="298">
        <v>4</v>
      </c>
      <c r="E171" s="299">
        <v>5</v>
      </c>
      <c r="F171" s="297"/>
    </row>
    <row r="172" spans="1:6" ht="16.95" customHeight="1" x14ac:dyDescent="0.25">
      <c r="A172" s="326">
        <v>48</v>
      </c>
      <c r="B172" s="323" t="s">
        <v>44</v>
      </c>
      <c r="C172" s="319">
        <v>47</v>
      </c>
      <c r="D172" s="308" t="s">
        <v>22</v>
      </c>
      <c r="E172" s="282">
        <v>2377151.2400000002</v>
      </c>
      <c r="F172" s="297"/>
    </row>
    <row r="173" spans="1:6" ht="16.95" customHeight="1" x14ac:dyDescent="0.25">
      <c r="A173" s="327"/>
      <c r="B173" s="324"/>
      <c r="C173" s="322"/>
      <c r="D173" s="308" t="s">
        <v>17</v>
      </c>
      <c r="E173" s="282">
        <v>124000</v>
      </c>
      <c r="F173" s="297"/>
    </row>
    <row r="174" spans="1:6" ht="16.95" customHeight="1" x14ac:dyDescent="0.25">
      <c r="A174" s="328"/>
      <c r="B174" s="325"/>
      <c r="C174" s="320"/>
      <c r="D174" s="308" t="s">
        <v>18</v>
      </c>
      <c r="E174" s="282">
        <v>2501151.2400000002</v>
      </c>
      <c r="F174" s="297"/>
    </row>
    <row r="175" spans="1:6" ht="16.95" customHeight="1" x14ac:dyDescent="0.25">
      <c r="A175" s="326">
        <v>49</v>
      </c>
      <c r="B175" s="323" t="s">
        <v>44</v>
      </c>
      <c r="C175" s="319" t="s">
        <v>50</v>
      </c>
      <c r="D175" s="308" t="s">
        <v>22</v>
      </c>
      <c r="E175" s="282">
        <v>2377151.2400000002</v>
      </c>
      <c r="F175" s="297"/>
    </row>
    <row r="176" spans="1:6" ht="16.95" customHeight="1" x14ac:dyDescent="0.25">
      <c r="A176" s="327"/>
      <c r="B176" s="324"/>
      <c r="C176" s="322"/>
      <c r="D176" s="308" t="s">
        <v>17</v>
      </c>
      <c r="E176" s="282">
        <v>124000</v>
      </c>
      <c r="F176" s="297"/>
    </row>
    <row r="177" spans="1:6" ht="16.95" customHeight="1" x14ac:dyDescent="0.25">
      <c r="A177" s="328"/>
      <c r="B177" s="325"/>
      <c r="C177" s="320"/>
      <c r="D177" s="308" t="s">
        <v>18</v>
      </c>
      <c r="E177" s="282">
        <v>2501151.2400000002</v>
      </c>
      <c r="F177" s="297"/>
    </row>
    <row r="178" spans="1:6" ht="16.95" customHeight="1" x14ac:dyDescent="0.25">
      <c r="A178" s="326">
        <v>50</v>
      </c>
      <c r="B178" s="323" t="s">
        <v>51</v>
      </c>
      <c r="C178" s="319">
        <v>1</v>
      </c>
      <c r="D178" s="308" t="s">
        <v>16</v>
      </c>
      <c r="E178" s="300">
        <v>5554247.3499999996</v>
      </c>
      <c r="F178" s="297"/>
    </row>
    <row r="179" spans="1:6" ht="16.95" customHeight="1" x14ac:dyDescent="0.25">
      <c r="A179" s="327"/>
      <c r="B179" s="324"/>
      <c r="C179" s="322"/>
      <c r="D179" s="308" t="s">
        <v>17</v>
      </c>
      <c r="E179" s="300">
        <v>227835.12</v>
      </c>
      <c r="F179" s="297"/>
    </row>
    <row r="180" spans="1:6" ht="16.95" customHeight="1" x14ac:dyDescent="0.25">
      <c r="A180" s="328"/>
      <c r="B180" s="325"/>
      <c r="C180" s="320"/>
      <c r="D180" s="308" t="s">
        <v>18</v>
      </c>
      <c r="E180" s="300">
        <v>5782082.4699999997</v>
      </c>
      <c r="F180" s="297"/>
    </row>
    <row r="181" spans="1:6" ht="16.95" customHeight="1" x14ac:dyDescent="0.25">
      <c r="A181" s="329">
        <v>51</v>
      </c>
      <c r="B181" s="321" t="s">
        <v>52</v>
      </c>
      <c r="C181" s="330">
        <v>3</v>
      </c>
      <c r="D181" s="308" t="s">
        <v>22</v>
      </c>
      <c r="E181" s="282">
        <v>2377151.2400000002</v>
      </c>
      <c r="F181" s="297"/>
    </row>
    <row r="182" spans="1:6" ht="16.95" customHeight="1" x14ac:dyDescent="0.25">
      <c r="A182" s="329"/>
      <c r="B182" s="321"/>
      <c r="C182" s="330"/>
      <c r="D182" s="308" t="s">
        <v>17</v>
      </c>
      <c r="E182" s="282">
        <v>124000</v>
      </c>
      <c r="F182" s="297"/>
    </row>
    <row r="183" spans="1:6" ht="16.95" customHeight="1" x14ac:dyDescent="0.25">
      <c r="A183" s="329"/>
      <c r="B183" s="321"/>
      <c r="C183" s="330"/>
      <c r="D183" s="308" t="s">
        <v>18</v>
      </c>
      <c r="E183" s="282">
        <v>2501151.2400000002</v>
      </c>
      <c r="F183" s="297"/>
    </row>
    <row r="184" spans="1:6" ht="16.95" customHeight="1" x14ac:dyDescent="0.25">
      <c r="A184" s="329">
        <v>52</v>
      </c>
      <c r="B184" s="321" t="s">
        <v>52</v>
      </c>
      <c r="C184" s="330">
        <v>12</v>
      </c>
      <c r="D184" s="308" t="s">
        <v>22</v>
      </c>
      <c r="E184" s="282">
        <v>2377151.2400000002</v>
      </c>
      <c r="F184" s="297"/>
    </row>
    <row r="185" spans="1:6" ht="16.95" customHeight="1" x14ac:dyDescent="0.25">
      <c r="A185" s="329"/>
      <c r="B185" s="321"/>
      <c r="C185" s="330"/>
      <c r="D185" s="308" t="s">
        <v>17</v>
      </c>
      <c r="E185" s="282">
        <v>124000</v>
      </c>
      <c r="F185" s="297"/>
    </row>
    <row r="186" spans="1:6" ht="16.95" customHeight="1" x14ac:dyDescent="0.25">
      <c r="A186" s="329"/>
      <c r="B186" s="321"/>
      <c r="C186" s="330"/>
      <c r="D186" s="308" t="s">
        <v>18</v>
      </c>
      <c r="E186" s="282">
        <v>2501151.2400000002</v>
      </c>
      <c r="F186" s="297"/>
    </row>
    <row r="187" spans="1:6" ht="16.95" customHeight="1" x14ac:dyDescent="0.25">
      <c r="A187" s="329">
        <v>53</v>
      </c>
      <c r="B187" s="321" t="s">
        <v>52</v>
      </c>
      <c r="C187" s="330">
        <v>14</v>
      </c>
      <c r="D187" s="308" t="s">
        <v>22</v>
      </c>
      <c r="E187" s="282">
        <v>2377151.2400000002</v>
      </c>
      <c r="F187" s="297"/>
    </row>
    <row r="188" spans="1:6" ht="16.95" customHeight="1" x14ac:dyDescent="0.25">
      <c r="A188" s="329"/>
      <c r="B188" s="321"/>
      <c r="C188" s="330"/>
      <c r="D188" s="308" t="s">
        <v>17</v>
      </c>
      <c r="E188" s="282">
        <v>124000</v>
      </c>
      <c r="F188" s="297"/>
    </row>
    <row r="189" spans="1:6" ht="16.95" customHeight="1" x14ac:dyDescent="0.25">
      <c r="A189" s="329"/>
      <c r="B189" s="321"/>
      <c r="C189" s="330"/>
      <c r="D189" s="308" t="s">
        <v>18</v>
      </c>
      <c r="E189" s="282">
        <v>2501151.2400000002</v>
      </c>
      <c r="F189" s="297"/>
    </row>
    <row r="190" spans="1:6" ht="16.95" customHeight="1" x14ac:dyDescent="0.25">
      <c r="A190" s="329">
        <v>54</v>
      </c>
      <c r="B190" s="321" t="s">
        <v>53</v>
      </c>
      <c r="C190" s="330">
        <v>6</v>
      </c>
      <c r="D190" s="308" t="s">
        <v>22</v>
      </c>
      <c r="E190" s="282">
        <v>2377151.2400000002</v>
      </c>
      <c r="F190" s="297"/>
    </row>
    <row r="191" spans="1:6" ht="16.95" customHeight="1" x14ac:dyDescent="0.25">
      <c r="A191" s="329"/>
      <c r="B191" s="321"/>
      <c r="C191" s="330"/>
      <c r="D191" s="308" t="s">
        <v>17</v>
      </c>
      <c r="E191" s="282">
        <v>124000</v>
      </c>
      <c r="F191" s="297"/>
    </row>
    <row r="192" spans="1:6" ht="16.95" customHeight="1" x14ac:dyDescent="0.25">
      <c r="A192" s="329"/>
      <c r="B192" s="321"/>
      <c r="C192" s="330"/>
      <c r="D192" s="308" t="s">
        <v>18</v>
      </c>
      <c r="E192" s="282">
        <v>2501151.2400000002</v>
      </c>
      <c r="F192" s="297"/>
    </row>
    <row r="193" spans="1:6" ht="16.95" customHeight="1" x14ac:dyDescent="0.25">
      <c r="A193" s="329">
        <v>55</v>
      </c>
      <c r="B193" s="321" t="s">
        <v>53</v>
      </c>
      <c r="C193" s="330">
        <v>8</v>
      </c>
      <c r="D193" s="308" t="s">
        <v>22</v>
      </c>
      <c r="E193" s="282">
        <v>2377151.2400000002</v>
      </c>
      <c r="F193" s="297"/>
    </row>
    <row r="194" spans="1:6" ht="16.95" customHeight="1" x14ac:dyDescent="0.25">
      <c r="A194" s="329"/>
      <c r="B194" s="321"/>
      <c r="C194" s="330"/>
      <c r="D194" s="308" t="s">
        <v>17</v>
      </c>
      <c r="E194" s="282">
        <v>124000</v>
      </c>
      <c r="F194" s="297"/>
    </row>
    <row r="195" spans="1:6" ht="16.95" customHeight="1" x14ac:dyDescent="0.25">
      <c r="A195" s="329"/>
      <c r="B195" s="321"/>
      <c r="C195" s="330"/>
      <c r="D195" s="308" t="s">
        <v>18</v>
      </c>
      <c r="E195" s="282">
        <v>2501151.2400000002</v>
      </c>
      <c r="F195" s="297"/>
    </row>
    <row r="196" spans="1:6" ht="16.95" customHeight="1" x14ac:dyDescent="0.25">
      <c r="A196" s="329">
        <v>56</v>
      </c>
      <c r="B196" s="321" t="s">
        <v>53</v>
      </c>
      <c r="C196" s="330">
        <v>13</v>
      </c>
      <c r="D196" s="308" t="s">
        <v>22</v>
      </c>
      <c r="E196" s="282">
        <v>2377151.2400000002</v>
      </c>
      <c r="F196" s="297"/>
    </row>
    <row r="197" spans="1:6" ht="16.95" customHeight="1" x14ac:dyDescent="0.25">
      <c r="A197" s="329"/>
      <c r="B197" s="321"/>
      <c r="C197" s="330"/>
      <c r="D197" s="308" t="s">
        <v>17</v>
      </c>
      <c r="E197" s="282">
        <v>124000</v>
      </c>
      <c r="F197" s="297"/>
    </row>
    <row r="198" spans="1:6" ht="16.95" customHeight="1" x14ac:dyDescent="0.25">
      <c r="A198" s="329"/>
      <c r="B198" s="321"/>
      <c r="C198" s="330"/>
      <c r="D198" s="308" t="s">
        <v>18</v>
      </c>
      <c r="E198" s="282">
        <v>2501151.2400000002</v>
      </c>
      <c r="F198" s="297"/>
    </row>
    <row r="199" spans="1:6" ht="16.95" customHeight="1" x14ac:dyDescent="0.25">
      <c r="A199" s="298">
        <v>57</v>
      </c>
      <c r="B199" s="286" t="s">
        <v>53</v>
      </c>
      <c r="C199" s="285">
        <v>15</v>
      </c>
      <c r="D199" s="308" t="s">
        <v>22</v>
      </c>
      <c r="E199" s="282">
        <v>2377151.2400000002</v>
      </c>
      <c r="F199" s="297"/>
    </row>
    <row r="200" spans="1:6" ht="16.95" customHeight="1" x14ac:dyDescent="0.25">
      <c r="A200" s="298">
        <v>1</v>
      </c>
      <c r="B200" s="285">
        <v>2</v>
      </c>
      <c r="C200" s="285">
        <v>3</v>
      </c>
      <c r="D200" s="298">
        <v>4</v>
      </c>
      <c r="E200" s="299">
        <v>5</v>
      </c>
      <c r="F200" s="297"/>
    </row>
    <row r="201" spans="1:6" ht="16.95" customHeight="1" x14ac:dyDescent="0.25">
      <c r="A201" s="327"/>
      <c r="B201" s="322"/>
      <c r="C201" s="322"/>
      <c r="D201" s="308" t="s">
        <v>17</v>
      </c>
      <c r="E201" s="282">
        <v>124000</v>
      </c>
      <c r="F201" s="297"/>
    </row>
    <row r="202" spans="1:6" ht="16.95" customHeight="1" x14ac:dyDescent="0.25">
      <c r="A202" s="328"/>
      <c r="B202" s="320"/>
      <c r="C202" s="320"/>
      <c r="D202" s="308" t="s">
        <v>18</v>
      </c>
      <c r="E202" s="282">
        <v>2501151.2400000002</v>
      </c>
      <c r="F202" s="297"/>
    </row>
    <row r="203" spans="1:6" ht="16.95" customHeight="1" x14ac:dyDescent="0.25">
      <c r="A203" s="329">
        <v>58</v>
      </c>
      <c r="B203" s="321" t="s">
        <v>54</v>
      </c>
      <c r="C203" s="330">
        <v>11</v>
      </c>
      <c r="D203" s="308" t="s">
        <v>24</v>
      </c>
      <c r="E203" s="282">
        <v>36092497.159999996</v>
      </c>
      <c r="F203" s="297"/>
    </row>
    <row r="204" spans="1:6" ht="16.95" customHeight="1" x14ac:dyDescent="0.25">
      <c r="A204" s="329"/>
      <c r="B204" s="321"/>
      <c r="C204" s="330"/>
      <c r="D204" s="308" t="s">
        <v>31</v>
      </c>
      <c r="E204" s="282">
        <v>52776564.729999997</v>
      </c>
      <c r="F204" s="297"/>
    </row>
    <row r="205" spans="1:6" ht="16.95" customHeight="1" x14ac:dyDescent="0.25">
      <c r="A205" s="329"/>
      <c r="B205" s="321"/>
      <c r="C205" s="330"/>
      <c r="D205" s="308" t="s">
        <v>17</v>
      </c>
      <c r="E205" s="282">
        <v>6128900.8200000003</v>
      </c>
      <c r="F205" s="297"/>
    </row>
    <row r="206" spans="1:6" ht="16.95" customHeight="1" x14ac:dyDescent="0.25">
      <c r="A206" s="329"/>
      <c r="B206" s="321"/>
      <c r="C206" s="330"/>
      <c r="D206" s="308" t="s">
        <v>18</v>
      </c>
      <c r="E206" s="282">
        <v>94997962.709999993</v>
      </c>
      <c r="F206" s="297"/>
    </row>
    <row r="207" spans="1:6" ht="16.95" customHeight="1" x14ac:dyDescent="0.25">
      <c r="A207" s="329">
        <v>59</v>
      </c>
      <c r="B207" s="321" t="s">
        <v>54</v>
      </c>
      <c r="C207" s="330">
        <v>13</v>
      </c>
      <c r="D207" s="308" t="s">
        <v>24</v>
      </c>
      <c r="E207" s="282">
        <v>22141930.84</v>
      </c>
      <c r="F207" s="297"/>
    </row>
    <row r="208" spans="1:6" ht="16.95" customHeight="1" x14ac:dyDescent="0.25">
      <c r="A208" s="329"/>
      <c r="B208" s="321"/>
      <c r="C208" s="330"/>
      <c r="D208" s="308" t="s">
        <v>31</v>
      </c>
      <c r="E208" s="282">
        <v>20409089.760000002</v>
      </c>
      <c r="F208" s="297"/>
    </row>
    <row r="209" spans="1:6" ht="16.95" customHeight="1" x14ac:dyDescent="0.25">
      <c r="A209" s="329"/>
      <c r="B209" s="321"/>
      <c r="C209" s="330"/>
      <c r="D209" s="308" t="s">
        <v>17</v>
      </c>
      <c r="E209" s="282">
        <v>2934553.14</v>
      </c>
      <c r="F209" s="297"/>
    </row>
    <row r="210" spans="1:6" ht="16.95" customHeight="1" x14ac:dyDescent="0.25">
      <c r="A210" s="329"/>
      <c r="B210" s="321"/>
      <c r="C210" s="330"/>
      <c r="D210" s="308" t="s">
        <v>18</v>
      </c>
      <c r="E210" s="282">
        <f>SUM(E207:E209)</f>
        <v>45485573.740000002</v>
      </c>
      <c r="F210" s="297"/>
    </row>
    <row r="211" spans="1:6" ht="16.95" customHeight="1" x14ac:dyDescent="0.25">
      <c r="A211" s="329">
        <v>60</v>
      </c>
      <c r="B211" s="321" t="s">
        <v>56</v>
      </c>
      <c r="C211" s="330">
        <v>10</v>
      </c>
      <c r="D211" s="308" t="s">
        <v>27</v>
      </c>
      <c r="E211" s="300">
        <v>16221481.800000001</v>
      </c>
      <c r="F211" s="297"/>
    </row>
    <row r="212" spans="1:6" ht="16.95" customHeight="1" x14ac:dyDescent="0.25">
      <c r="A212" s="329"/>
      <c r="B212" s="321"/>
      <c r="C212" s="330"/>
      <c r="D212" s="308" t="s">
        <v>30</v>
      </c>
      <c r="E212" s="300">
        <v>3372346.42</v>
      </c>
      <c r="F212" s="297"/>
    </row>
    <row r="213" spans="1:6" ht="16.95" customHeight="1" x14ac:dyDescent="0.25">
      <c r="A213" s="329"/>
      <c r="B213" s="321"/>
      <c r="C213" s="330"/>
      <c r="D213" s="308" t="s">
        <v>24</v>
      </c>
      <c r="E213" s="300">
        <v>18884217.879999999</v>
      </c>
      <c r="F213" s="297"/>
    </row>
    <row r="214" spans="1:6" ht="16.95" customHeight="1" x14ac:dyDescent="0.25">
      <c r="A214" s="329"/>
      <c r="B214" s="321"/>
      <c r="C214" s="330"/>
      <c r="D214" s="308" t="s">
        <v>31</v>
      </c>
      <c r="E214" s="300">
        <v>17406327.41</v>
      </c>
      <c r="F214" s="297"/>
    </row>
    <row r="215" spans="1:6" ht="16.95" customHeight="1" x14ac:dyDescent="0.25">
      <c r="A215" s="329"/>
      <c r="B215" s="321"/>
      <c r="C215" s="330"/>
      <c r="D215" s="308" t="s">
        <v>32</v>
      </c>
      <c r="E215" s="300">
        <v>997058.37</v>
      </c>
      <c r="F215" s="297"/>
    </row>
    <row r="216" spans="1:6" ht="16.95" customHeight="1" x14ac:dyDescent="0.25">
      <c r="A216" s="329"/>
      <c r="B216" s="321"/>
      <c r="C216" s="330"/>
      <c r="D216" s="308" t="s">
        <v>18</v>
      </c>
      <c r="E216" s="300">
        <f>SUM(E211:E215)</f>
        <v>56881431.879999988</v>
      </c>
      <c r="F216" s="297"/>
    </row>
    <row r="217" spans="1:6" ht="16.95" customHeight="1" x14ac:dyDescent="0.25">
      <c r="A217" s="329">
        <v>61</v>
      </c>
      <c r="B217" s="321" t="s">
        <v>147</v>
      </c>
      <c r="C217" s="330">
        <v>16</v>
      </c>
      <c r="D217" s="308" t="s">
        <v>16</v>
      </c>
      <c r="E217" s="300">
        <v>7405663.1399999997</v>
      </c>
      <c r="F217" s="297"/>
    </row>
    <row r="218" spans="1:6" ht="16.95" customHeight="1" x14ac:dyDescent="0.25">
      <c r="A218" s="329"/>
      <c r="B218" s="321"/>
      <c r="C218" s="330"/>
      <c r="D218" s="308" t="s">
        <v>17</v>
      </c>
      <c r="E218" s="300">
        <v>303780.15999999997</v>
      </c>
    </row>
    <row r="219" spans="1:6" ht="16.95" customHeight="1" x14ac:dyDescent="0.25">
      <c r="A219" s="329"/>
      <c r="B219" s="321"/>
      <c r="C219" s="330"/>
      <c r="D219" s="308" t="s">
        <v>18</v>
      </c>
      <c r="E219" s="300">
        <v>7709443.2999999998</v>
      </c>
    </row>
    <row r="220" spans="1:6" ht="16.95" customHeight="1" x14ac:dyDescent="0.25">
      <c r="A220" s="329">
        <v>62</v>
      </c>
      <c r="B220" s="321" t="s">
        <v>147</v>
      </c>
      <c r="C220" s="330">
        <v>30</v>
      </c>
      <c r="D220" s="308" t="s">
        <v>16</v>
      </c>
      <c r="E220" s="300">
        <v>3702831.57</v>
      </c>
      <c r="F220" s="297"/>
    </row>
    <row r="221" spans="1:6" ht="16.95" customHeight="1" x14ac:dyDescent="0.25">
      <c r="A221" s="329"/>
      <c r="B221" s="321"/>
      <c r="C221" s="330"/>
      <c r="D221" s="308" t="s">
        <v>17</v>
      </c>
      <c r="E221" s="300">
        <v>151890.07999999999</v>
      </c>
    </row>
    <row r="222" spans="1:6" ht="16.95" customHeight="1" x14ac:dyDescent="0.25">
      <c r="A222" s="329"/>
      <c r="B222" s="321"/>
      <c r="C222" s="330"/>
      <c r="D222" s="308" t="s">
        <v>18</v>
      </c>
      <c r="E222" s="300">
        <v>3854721.65</v>
      </c>
    </row>
    <row r="223" spans="1:6" ht="16.95" customHeight="1" x14ac:dyDescent="0.25">
      <c r="A223" s="326">
        <v>63</v>
      </c>
      <c r="B223" s="323" t="s">
        <v>147</v>
      </c>
      <c r="C223" s="319">
        <v>32</v>
      </c>
      <c r="D223" s="308" t="s">
        <v>16</v>
      </c>
      <c r="E223" s="300">
        <v>1851415.78</v>
      </c>
      <c r="F223" s="297"/>
    </row>
    <row r="224" spans="1:6" ht="16.95" customHeight="1" x14ac:dyDescent="0.25">
      <c r="A224" s="327"/>
      <c r="B224" s="324"/>
      <c r="C224" s="322"/>
      <c r="D224" s="308" t="s">
        <v>17</v>
      </c>
      <c r="E224" s="300">
        <v>75945.039999999994</v>
      </c>
    </row>
    <row r="225" spans="1:6" ht="16.95" customHeight="1" x14ac:dyDescent="0.25">
      <c r="A225" s="328"/>
      <c r="B225" s="325"/>
      <c r="C225" s="320"/>
      <c r="D225" s="308" t="s">
        <v>18</v>
      </c>
      <c r="E225" s="300">
        <v>1927360.82</v>
      </c>
    </row>
    <row r="226" spans="1:6" ht="16.95" customHeight="1" x14ac:dyDescent="0.25">
      <c r="A226" s="329">
        <v>64</v>
      </c>
      <c r="B226" s="321" t="s">
        <v>147</v>
      </c>
      <c r="C226" s="330">
        <v>34</v>
      </c>
      <c r="D226" s="308" t="s">
        <v>16</v>
      </c>
      <c r="E226" s="300">
        <v>11108494.710000001</v>
      </c>
      <c r="F226" s="297"/>
    </row>
    <row r="227" spans="1:6" ht="16.95" customHeight="1" x14ac:dyDescent="0.25">
      <c r="A227" s="329"/>
      <c r="B227" s="321"/>
      <c r="C227" s="330"/>
      <c r="D227" s="308" t="s">
        <v>17</v>
      </c>
      <c r="E227" s="300">
        <v>455670.24</v>
      </c>
    </row>
    <row r="228" spans="1:6" ht="16.95" customHeight="1" x14ac:dyDescent="0.25">
      <c r="A228" s="329"/>
      <c r="B228" s="321"/>
      <c r="C228" s="330"/>
      <c r="D228" s="308" t="s">
        <v>18</v>
      </c>
      <c r="E228" s="300">
        <v>11564164.949999999</v>
      </c>
    </row>
    <row r="229" spans="1:6" ht="16.95" customHeight="1" x14ac:dyDescent="0.25">
      <c r="A229" s="298">
        <v>1</v>
      </c>
      <c r="B229" s="287">
        <v>2</v>
      </c>
      <c r="C229" s="287">
        <v>3</v>
      </c>
      <c r="D229" s="298">
        <v>4</v>
      </c>
      <c r="E229" s="299">
        <v>5</v>
      </c>
    </row>
    <row r="230" spans="1:6" ht="16.95" customHeight="1" x14ac:dyDescent="0.25">
      <c r="A230" s="329">
        <v>65</v>
      </c>
      <c r="B230" s="321" t="s">
        <v>57</v>
      </c>
      <c r="C230" s="330">
        <v>3</v>
      </c>
      <c r="D230" s="308" t="s">
        <v>16</v>
      </c>
      <c r="E230" s="300">
        <v>3702831.57</v>
      </c>
      <c r="F230" s="297"/>
    </row>
    <row r="231" spans="1:6" ht="16.95" customHeight="1" x14ac:dyDescent="0.25">
      <c r="A231" s="329"/>
      <c r="B231" s="321"/>
      <c r="C231" s="330"/>
      <c r="D231" s="308" t="s">
        <v>17</v>
      </c>
      <c r="E231" s="300">
        <v>151890.07999999999</v>
      </c>
      <c r="F231" s="297"/>
    </row>
    <row r="232" spans="1:6" ht="16.95" customHeight="1" x14ac:dyDescent="0.25">
      <c r="A232" s="329"/>
      <c r="B232" s="321"/>
      <c r="C232" s="330"/>
      <c r="D232" s="308" t="s">
        <v>18</v>
      </c>
      <c r="E232" s="300">
        <v>3854721.65</v>
      </c>
      <c r="F232" s="297"/>
    </row>
    <row r="233" spans="1:6" ht="16.95" customHeight="1" x14ac:dyDescent="0.25">
      <c r="A233" s="329">
        <v>66</v>
      </c>
      <c r="B233" s="321" t="s">
        <v>57</v>
      </c>
      <c r="C233" s="330">
        <v>34</v>
      </c>
      <c r="D233" s="308" t="s">
        <v>16</v>
      </c>
      <c r="E233" s="300">
        <v>3702831.57</v>
      </c>
      <c r="F233" s="297"/>
    </row>
    <row r="234" spans="1:6" ht="16.95" customHeight="1" x14ac:dyDescent="0.25">
      <c r="A234" s="329"/>
      <c r="B234" s="321"/>
      <c r="C234" s="330"/>
      <c r="D234" s="308" t="s">
        <v>17</v>
      </c>
      <c r="E234" s="300">
        <v>151890.07999999999</v>
      </c>
      <c r="F234" s="297"/>
    </row>
    <row r="235" spans="1:6" ht="16.95" customHeight="1" x14ac:dyDescent="0.25">
      <c r="A235" s="329"/>
      <c r="B235" s="321"/>
      <c r="C235" s="330"/>
      <c r="D235" s="308" t="s">
        <v>18</v>
      </c>
      <c r="E235" s="300">
        <v>3854721.65</v>
      </c>
      <c r="F235" s="297"/>
    </row>
    <row r="236" spans="1:6" ht="16.95" customHeight="1" x14ac:dyDescent="0.25">
      <c r="A236" s="329">
        <v>67</v>
      </c>
      <c r="B236" s="337" t="s">
        <v>864</v>
      </c>
      <c r="C236" s="330">
        <v>73</v>
      </c>
      <c r="D236" s="308" t="s">
        <v>59</v>
      </c>
      <c r="E236" s="300">
        <v>1215410.51</v>
      </c>
      <c r="F236" s="297"/>
    </row>
    <row r="237" spans="1:6" ht="16.95" customHeight="1" x14ac:dyDescent="0.25">
      <c r="A237" s="329"/>
      <c r="B237" s="321"/>
      <c r="C237" s="330"/>
      <c r="D237" s="308" t="s">
        <v>32</v>
      </c>
      <c r="E237" s="300">
        <v>224000</v>
      </c>
      <c r="F237" s="297"/>
    </row>
    <row r="238" spans="1:6" ht="16.95" customHeight="1" x14ac:dyDescent="0.25">
      <c r="A238" s="329"/>
      <c r="B238" s="321"/>
      <c r="C238" s="330"/>
      <c r="D238" s="308" t="s">
        <v>18</v>
      </c>
      <c r="E238" s="300">
        <v>1439410.51</v>
      </c>
      <c r="F238" s="297"/>
    </row>
    <row r="239" spans="1:6" ht="16.95" customHeight="1" x14ac:dyDescent="0.25">
      <c r="A239" s="326">
        <v>68</v>
      </c>
      <c r="B239" s="321" t="s">
        <v>60</v>
      </c>
      <c r="C239" s="319" t="s">
        <v>61</v>
      </c>
      <c r="D239" s="308" t="s">
        <v>22</v>
      </c>
      <c r="E239" s="282">
        <v>2377151.2400000002</v>
      </c>
      <c r="F239" s="297"/>
    </row>
    <row r="240" spans="1:6" ht="16.95" customHeight="1" x14ac:dyDescent="0.25">
      <c r="A240" s="327"/>
      <c r="B240" s="321"/>
      <c r="C240" s="322"/>
      <c r="D240" s="308" t="s">
        <v>17</v>
      </c>
      <c r="E240" s="282">
        <v>124000</v>
      </c>
      <c r="F240" s="297"/>
    </row>
    <row r="241" spans="1:6" ht="16.95" customHeight="1" x14ac:dyDescent="0.25">
      <c r="A241" s="328"/>
      <c r="B241" s="321"/>
      <c r="C241" s="320"/>
      <c r="D241" s="308" t="s">
        <v>18</v>
      </c>
      <c r="E241" s="282">
        <v>2501151.2400000002</v>
      </c>
      <c r="F241" s="297"/>
    </row>
    <row r="242" spans="1:6" ht="16.95" customHeight="1" x14ac:dyDescent="0.25">
      <c r="A242" s="326">
        <v>69</v>
      </c>
      <c r="B242" s="321" t="s">
        <v>60</v>
      </c>
      <c r="C242" s="319" t="s">
        <v>62</v>
      </c>
      <c r="D242" s="308" t="s">
        <v>22</v>
      </c>
      <c r="E242" s="282">
        <v>2377151.2400000002</v>
      </c>
      <c r="F242" s="297"/>
    </row>
    <row r="243" spans="1:6" ht="16.95" customHeight="1" x14ac:dyDescent="0.25">
      <c r="A243" s="327"/>
      <c r="B243" s="321"/>
      <c r="C243" s="322"/>
      <c r="D243" s="308" t="s">
        <v>17</v>
      </c>
      <c r="E243" s="282">
        <v>124000</v>
      </c>
      <c r="F243" s="297"/>
    </row>
    <row r="244" spans="1:6" ht="16.95" customHeight="1" x14ac:dyDescent="0.25">
      <c r="A244" s="328"/>
      <c r="B244" s="321"/>
      <c r="C244" s="320"/>
      <c r="D244" s="308" t="s">
        <v>18</v>
      </c>
      <c r="E244" s="282">
        <v>2501151.2400000002</v>
      </c>
      <c r="F244" s="297"/>
    </row>
    <row r="245" spans="1:6" ht="16.95" customHeight="1" x14ac:dyDescent="0.25">
      <c r="A245" s="326">
        <v>70</v>
      </c>
      <c r="B245" s="323" t="s">
        <v>60</v>
      </c>
      <c r="C245" s="319" t="s">
        <v>63</v>
      </c>
      <c r="D245" s="308" t="s">
        <v>22</v>
      </c>
      <c r="E245" s="282">
        <v>4754302.4800000004</v>
      </c>
      <c r="F245" s="297"/>
    </row>
    <row r="246" spans="1:6" ht="16.95" customHeight="1" x14ac:dyDescent="0.25">
      <c r="A246" s="327"/>
      <c r="B246" s="324"/>
      <c r="C246" s="322"/>
      <c r="D246" s="310" t="s">
        <v>17</v>
      </c>
      <c r="E246" s="304">
        <v>248000</v>
      </c>
      <c r="F246" s="297"/>
    </row>
    <row r="247" spans="1:6" ht="16.95" customHeight="1" x14ac:dyDescent="0.25">
      <c r="A247" s="328"/>
      <c r="B247" s="325"/>
      <c r="C247" s="320"/>
      <c r="D247" s="308" t="s">
        <v>18</v>
      </c>
      <c r="E247" s="282">
        <v>5002302.4800000004</v>
      </c>
      <c r="F247" s="297"/>
    </row>
    <row r="248" spans="1:6" ht="16.95" customHeight="1" x14ac:dyDescent="0.25">
      <c r="A248" s="326">
        <v>71</v>
      </c>
      <c r="B248" s="323" t="s">
        <v>60</v>
      </c>
      <c r="C248" s="319" t="s">
        <v>64</v>
      </c>
      <c r="D248" s="308" t="s">
        <v>22</v>
      </c>
      <c r="E248" s="282">
        <v>2377151.2400000002</v>
      </c>
      <c r="F248" s="297"/>
    </row>
    <row r="249" spans="1:6" ht="16.95" customHeight="1" x14ac:dyDescent="0.25">
      <c r="A249" s="327"/>
      <c r="B249" s="324"/>
      <c r="C249" s="322"/>
      <c r="D249" s="308" t="s">
        <v>17</v>
      </c>
      <c r="E249" s="282">
        <v>124000</v>
      </c>
      <c r="F249" s="297"/>
    </row>
    <row r="250" spans="1:6" ht="16.95" customHeight="1" x14ac:dyDescent="0.25">
      <c r="A250" s="328"/>
      <c r="B250" s="325"/>
      <c r="C250" s="320"/>
      <c r="D250" s="308" t="s">
        <v>18</v>
      </c>
      <c r="E250" s="282">
        <v>2501151.2400000002</v>
      </c>
      <c r="F250" s="297"/>
    </row>
    <row r="251" spans="1:6" ht="16.95" customHeight="1" x14ac:dyDescent="0.25">
      <c r="A251" s="326">
        <v>72</v>
      </c>
      <c r="B251" s="321" t="s">
        <v>60</v>
      </c>
      <c r="C251" s="319" t="s">
        <v>65</v>
      </c>
      <c r="D251" s="308" t="s">
        <v>22</v>
      </c>
      <c r="E251" s="282">
        <v>2377151.2400000002</v>
      </c>
      <c r="F251" s="297"/>
    </row>
    <row r="252" spans="1:6" ht="16.95" customHeight="1" x14ac:dyDescent="0.25">
      <c r="A252" s="327"/>
      <c r="B252" s="321"/>
      <c r="C252" s="322"/>
      <c r="D252" s="308" t="s">
        <v>17</v>
      </c>
      <c r="E252" s="282">
        <v>124000</v>
      </c>
      <c r="F252" s="297"/>
    </row>
    <row r="253" spans="1:6" ht="16.95" customHeight="1" x14ac:dyDescent="0.25">
      <c r="A253" s="328"/>
      <c r="B253" s="321"/>
      <c r="C253" s="320"/>
      <c r="D253" s="308" t="s">
        <v>18</v>
      </c>
      <c r="E253" s="282">
        <v>2501151.2400000002</v>
      </c>
      <c r="F253" s="297"/>
    </row>
    <row r="254" spans="1:6" ht="16.95" customHeight="1" x14ac:dyDescent="0.25">
      <c r="A254" s="326">
        <v>73</v>
      </c>
      <c r="B254" s="321" t="s">
        <v>60</v>
      </c>
      <c r="C254" s="319" t="s">
        <v>15</v>
      </c>
      <c r="D254" s="308" t="s">
        <v>22</v>
      </c>
      <c r="E254" s="282">
        <v>2377151.2400000002</v>
      </c>
      <c r="F254" s="297"/>
    </row>
    <row r="255" spans="1:6" ht="16.95" customHeight="1" x14ac:dyDescent="0.25">
      <c r="A255" s="327"/>
      <c r="B255" s="321"/>
      <c r="C255" s="322"/>
      <c r="D255" s="308" t="s">
        <v>17</v>
      </c>
      <c r="E255" s="282">
        <v>124000</v>
      </c>
      <c r="F255" s="297"/>
    </row>
    <row r="256" spans="1:6" ht="16.95" customHeight="1" x14ac:dyDescent="0.25">
      <c r="A256" s="328"/>
      <c r="B256" s="321"/>
      <c r="C256" s="320"/>
      <c r="D256" s="308" t="s">
        <v>18</v>
      </c>
      <c r="E256" s="282">
        <v>2501151.2400000002</v>
      </c>
      <c r="F256" s="297"/>
    </row>
    <row r="257" spans="1:6" ht="16.95" customHeight="1" x14ac:dyDescent="0.25">
      <c r="A257" s="298">
        <v>74</v>
      </c>
      <c r="B257" s="286" t="s">
        <v>60</v>
      </c>
      <c r="C257" s="287">
        <v>13</v>
      </c>
      <c r="D257" s="308" t="s">
        <v>22</v>
      </c>
      <c r="E257" s="282">
        <v>2377151.2400000002</v>
      </c>
      <c r="F257" s="297"/>
    </row>
    <row r="258" spans="1:6" ht="16.95" customHeight="1" x14ac:dyDescent="0.25">
      <c r="A258" s="298">
        <v>1</v>
      </c>
      <c r="B258" s="287">
        <v>2</v>
      </c>
      <c r="C258" s="287">
        <v>3</v>
      </c>
      <c r="D258" s="298">
        <v>4</v>
      </c>
      <c r="E258" s="299">
        <v>5</v>
      </c>
      <c r="F258" s="297"/>
    </row>
    <row r="259" spans="1:6" ht="16.95" customHeight="1" x14ac:dyDescent="0.25">
      <c r="A259" s="329"/>
      <c r="B259" s="330"/>
      <c r="C259" s="330"/>
      <c r="D259" s="308" t="s">
        <v>17</v>
      </c>
      <c r="E259" s="282">
        <v>124000</v>
      </c>
      <c r="F259" s="297"/>
    </row>
    <row r="260" spans="1:6" ht="16.95" customHeight="1" x14ac:dyDescent="0.25">
      <c r="A260" s="329"/>
      <c r="B260" s="330"/>
      <c r="C260" s="330"/>
      <c r="D260" s="308" t="s">
        <v>18</v>
      </c>
      <c r="E260" s="282">
        <v>2501151.2400000002</v>
      </c>
      <c r="F260" s="297"/>
    </row>
    <row r="261" spans="1:6" ht="16.95" customHeight="1" x14ac:dyDescent="0.25">
      <c r="A261" s="326">
        <v>75</v>
      </c>
      <c r="B261" s="321" t="s">
        <v>60</v>
      </c>
      <c r="C261" s="319" t="s">
        <v>66</v>
      </c>
      <c r="D261" s="308" t="s">
        <v>22</v>
      </c>
      <c r="E261" s="282">
        <v>2377151.2400000002</v>
      </c>
      <c r="F261" s="297"/>
    </row>
    <row r="262" spans="1:6" ht="16.95" customHeight="1" x14ac:dyDescent="0.25">
      <c r="A262" s="327"/>
      <c r="B262" s="321"/>
      <c r="C262" s="322"/>
      <c r="D262" s="308" t="s">
        <v>17</v>
      </c>
      <c r="E262" s="282">
        <v>124000</v>
      </c>
      <c r="F262" s="297"/>
    </row>
    <row r="263" spans="1:6" ht="16.95" customHeight="1" x14ac:dyDescent="0.25">
      <c r="A263" s="328"/>
      <c r="B263" s="321"/>
      <c r="C263" s="320"/>
      <c r="D263" s="308" t="s">
        <v>18</v>
      </c>
      <c r="E263" s="282">
        <v>2501151.2400000002</v>
      </c>
      <c r="F263" s="297"/>
    </row>
    <row r="264" spans="1:6" ht="16.95" customHeight="1" x14ac:dyDescent="0.25">
      <c r="A264" s="326">
        <v>76</v>
      </c>
      <c r="B264" s="323" t="s">
        <v>60</v>
      </c>
      <c r="C264" s="319" t="s">
        <v>67</v>
      </c>
      <c r="D264" s="308" t="s">
        <v>22</v>
      </c>
      <c r="E264" s="282">
        <v>2377151.2400000002</v>
      </c>
      <c r="F264" s="297"/>
    </row>
    <row r="265" spans="1:6" ht="16.95" customHeight="1" x14ac:dyDescent="0.25">
      <c r="A265" s="327"/>
      <c r="B265" s="324"/>
      <c r="C265" s="322"/>
      <c r="D265" s="308" t="s">
        <v>17</v>
      </c>
      <c r="E265" s="282">
        <v>124000</v>
      </c>
      <c r="F265" s="297"/>
    </row>
    <row r="266" spans="1:6" ht="16.95" customHeight="1" x14ac:dyDescent="0.25">
      <c r="A266" s="328"/>
      <c r="B266" s="325"/>
      <c r="C266" s="320"/>
      <c r="D266" s="308" t="s">
        <v>18</v>
      </c>
      <c r="E266" s="282">
        <v>2501151.2400000002</v>
      </c>
      <c r="F266" s="297"/>
    </row>
    <row r="267" spans="1:6" ht="16.95" customHeight="1" x14ac:dyDescent="0.25">
      <c r="A267" s="326">
        <v>77</v>
      </c>
      <c r="B267" s="321" t="s">
        <v>60</v>
      </c>
      <c r="C267" s="319" t="s">
        <v>68</v>
      </c>
      <c r="D267" s="308" t="s">
        <v>22</v>
      </c>
      <c r="E267" s="282">
        <v>2377151.2400000002</v>
      </c>
      <c r="F267" s="297"/>
    </row>
    <row r="268" spans="1:6" ht="16.95" customHeight="1" x14ac:dyDescent="0.25">
      <c r="A268" s="327"/>
      <c r="B268" s="321"/>
      <c r="C268" s="322"/>
      <c r="D268" s="308" t="s">
        <v>17</v>
      </c>
      <c r="E268" s="282">
        <v>124000</v>
      </c>
      <c r="F268" s="297"/>
    </row>
    <row r="269" spans="1:6" ht="16.95" customHeight="1" x14ac:dyDescent="0.25">
      <c r="A269" s="328"/>
      <c r="B269" s="321"/>
      <c r="C269" s="320"/>
      <c r="D269" s="308" t="s">
        <v>18</v>
      </c>
      <c r="E269" s="282">
        <v>2501151.2400000002</v>
      </c>
      <c r="F269" s="297"/>
    </row>
    <row r="270" spans="1:6" ht="16.95" customHeight="1" x14ac:dyDescent="0.25">
      <c r="A270" s="326">
        <v>78</v>
      </c>
      <c r="B270" s="323" t="s">
        <v>60</v>
      </c>
      <c r="C270" s="319">
        <v>19</v>
      </c>
      <c r="D270" s="308" t="s">
        <v>22</v>
      </c>
      <c r="E270" s="282">
        <v>2377151.2400000002</v>
      </c>
      <c r="F270" s="297"/>
    </row>
    <row r="271" spans="1:6" ht="16.95" customHeight="1" x14ac:dyDescent="0.25">
      <c r="A271" s="327"/>
      <c r="B271" s="324"/>
      <c r="C271" s="322"/>
      <c r="D271" s="308" t="s">
        <v>17</v>
      </c>
      <c r="E271" s="282">
        <v>124000</v>
      </c>
      <c r="F271" s="297"/>
    </row>
    <row r="272" spans="1:6" ht="16.95" customHeight="1" x14ac:dyDescent="0.25">
      <c r="A272" s="328"/>
      <c r="B272" s="325"/>
      <c r="C272" s="320"/>
      <c r="D272" s="308" t="s">
        <v>18</v>
      </c>
      <c r="E272" s="282">
        <v>2501151.2400000002</v>
      </c>
      <c r="F272" s="297"/>
    </row>
    <row r="273" spans="1:6" ht="16.95" customHeight="1" x14ac:dyDescent="0.25">
      <c r="A273" s="326">
        <v>79</v>
      </c>
      <c r="B273" s="321" t="s">
        <v>60</v>
      </c>
      <c r="C273" s="319">
        <v>72</v>
      </c>
      <c r="D273" s="308" t="s">
        <v>22</v>
      </c>
      <c r="E273" s="282">
        <v>2377151.2400000002</v>
      </c>
      <c r="F273" s="297"/>
    </row>
    <row r="274" spans="1:6" ht="16.95" customHeight="1" x14ac:dyDescent="0.25">
      <c r="A274" s="327"/>
      <c r="B274" s="321"/>
      <c r="C274" s="322"/>
      <c r="D274" s="308" t="s">
        <v>17</v>
      </c>
      <c r="E274" s="282">
        <v>124000</v>
      </c>
      <c r="F274" s="297"/>
    </row>
    <row r="275" spans="1:6" ht="16.95" customHeight="1" x14ac:dyDescent="0.25">
      <c r="A275" s="328"/>
      <c r="B275" s="321"/>
      <c r="C275" s="320"/>
      <c r="D275" s="308" t="s">
        <v>18</v>
      </c>
      <c r="E275" s="282">
        <v>2501151.2400000002</v>
      </c>
      <c r="F275" s="297"/>
    </row>
    <row r="276" spans="1:6" ht="16.95" customHeight="1" x14ac:dyDescent="0.25">
      <c r="A276" s="326">
        <v>80</v>
      </c>
      <c r="B276" s="321" t="s">
        <v>60</v>
      </c>
      <c r="C276" s="319" t="s">
        <v>69</v>
      </c>
      <c r="D276" s="308" t="s">
        <v>22</v>
      </c>
      <c r="E276" s="282">
        <v>4754302.4800000004</v>
      </c>
      <c r="F276" s="297"/>
    </row>
    <row r="277" spans="1:6" ht="16.95" customHeight="1" x14ac:dyDescent="0.25">
      <c r="A277" s="327"/>
      <c r="B277" s="321"/>
      <c r="C277" s="322"/>
      <c r="D277" s="308" t="s">
        <v>17</v>
      </c>
      <c r="E277" s="282">
        <v>248000</v>
      </c>
      <c r="F277" s="297"/>
    </row>
    <row r="278" spans="1:6" ht="16.95" customHeight="1" x14ac:dyDescent="0.25">
      <c r="A278" s="328"/>
      <c r="B278" s="321"/>
      <c r="C278" s="320"/>
      <c r="D278" s="308" t="s">
        <v>18</v>
      </c>
      <c r="E278" s="282">
        <v>5002302.4800000004</v>
      </c>
      <c r="F278" s="297"/>
    </row>
    <row r="279" spans="1:6" ht="16.95" customHeight="1" x14ac:dyDescent="0.25">
      <c r="A279" s="326">
        <v>81</v>
      </c>
      <c r="B279" s="321" t="s">
        <v>60</v>
      </c>
      <c r="C279" s="330" t="s">
        <v>70</v>
      </c>
      <c r="D279" s="308" t="s">
        <v>22</v>
      </c>
      <c r="E279" s="300">
        <v>7131453.7199999997</v>
      </c>
      <c r="F279" s="297"/>
    </row>
    <row r="280" spans="1:6" ht="16.95" customHeight="1" x14ac:dyDescent="0.25">
      <c r="A280" s="327"/>
      <c r="B280" s="321"/>
      <c r="C280" s="330"/>
      <c r="D280" s="308" t="s">
        <v>17</v>
      </c>
      <c r="E280" s="300">
        <v>372000</v>
      </c>
      <c r="F280" s="297"/>
    </row>
    <row r="281" spans="1:6" ht="16.95" customHeight="1" x14ac:dyDescent="0.25">
      <c r="A281" s="328"/>
      <c r="B281" s="321"/>
      <c r="C281" s="330"/>
      <c r="D281" s="308" t="s">
        <v>18</v>
      </c>
      <c r="E281" s="300">
        <v>7503453.7199999997</v>
      </c>
      <c r="F281" s="297"/>
    </row>
    <row r="282" spans="1:6" ht="16.95" customHeight="1" x14ac:dyDescent="0.25">
      <c r="A282" s="326">
        <v>82</v>
      </c>
      <c r="B282" s="321" t="s">
        <v>60</v>
      </c>
      <c r="C282" s="330" t="s">
        <v>71</v>
      </c>
      <c r="D282" s="308" t="s">
        <v>24</v>
      </c>
      <c r="E282" s="300">
        <v>20897700.289999999</v>
      </c>
      <c r="F282" s="297"/>
    </row>
    <row r="283" spans="1:6" ht="16.95" customHeight="1" x14ac:dyDescent="0.25">
      <c r="A283" s="327"/>
      <c r="B283" s="321"/>
      <c r="C283" s="330"/>
      <c r="D283" s="308" t="s">
        <v>32</v>
      </c>
      <c r="E283" s="300">
        <v>741812.5</v>
      </c>
      <c r="F283" s="297"/>
    </row>
    <row r="284" spans="1:6" ht="16.95" customHeight="1" x14ac:dyDescent="0.25">
      <c r="A284" s="328"/>
      <c r="B284" s="321"/>
      <c r="C284" s="330"/>
      <c r="D284" s="308" t="s">
        <v>18</v>
      </c>
      <c r="E284" s="300">
        <v>21639512.789999999</v>
      </c>
      <c r="F284" s="297"/>
    </row>
    <row r="285" spans="1:6" ht="16.95" customHeight="1" x14ac:dyDescent="0.25">
      <c r="A285" s="329">
        <v>83</v>
      </c>
      <c r="B285" s="321" t="s">
        <v>60</v>
      </c>
      <c r="C285" s="330" t="s">
        <v>72</v>
      </c>
      <c r="D285" s="308" t="s">
        <v>24</v>
      </c>
      <c r="E285" s="300">
        <v>9632734.5399999991</v>
      </c>
      <c r="F285" s="297"/>
    </row>
    <row r="286" spans="1:6" ht="16.95" customHeight="1" x14ac:dyDescent="0.25">
      <c r="A286" s="329"/>
      <c r="B286" s="321"/>
      <c r="C286" s="330"/>
      <c r="D286" s="308" t="s">
        <v>32</v>
      </c>
      <c r="E286" s="300">
        <v>670285.1</v>
      </c>
      <c r="F286" s="297"/>
    </row>
    <row r="287" spans="1:6" ht="16.95" customHeight="1" x14ac:dyDescent="0.25">
      <c r="A287" s="298">
        <v>1</v>
      </c>
      <c r="B287" s="287">
        <v>2</v>
      </c>
      <c r="C287" s="287">
        <v>3</v>
      </c>
      <c r="D287" s="298">
        <v>4</v>
      </c>
      <c r="E287" s="299">
        <v>5</v>
      </c>
      <c r="F287" s="297"/>
    </row>
    <row r="288" spans="1:6" ht="16.95" customHeight="1" x14ac:dyDescent="0.25">
      <c r="A288" s="301"/>
      <c r="B288" s="288"/>
      <c r="C288" s="288"/>
      <c r="D288" s="308" t="s">
        <v>18</v>
      </c>
      <c r="E288" s="300">
        <v>10303019.640000001</v>
      </c>
      <c r="F288" s="297"/>
    </row>
    <row r="289" spans="1:6" ht="16.95" customHeight="1" x14ac:dyDescent="0.25">
      <c r="A289" s="326">
        <v>84</v>
      </c>
      <c r="B289" s="323" t="s">
        <v>73</v>
      </c>
      <c r="C289" s="319">
        <v>1</v>
      </c>
      <c r="D289" s="308" t="s">
        <v>16</v>
      </c>
      <c r="E289" s="300">
        <v>1851415.78</v>
      </c>
      <c r="F289" s="297"/>
    </row>
    <row r="290" spans="1:6" ht="16.95" customHeight="1" x14ac:dyDescent="0.25">
      <c r="A290" s="327"/>
      <c r="B290" s="324"/>
      <c r="C290" s="322"/>
      <c r="D290" s="308" t="s">
        <v>17</v>
      </c>
      <c r="E290" s="300">
        <v>75945.039999999994</v>
      </c>
      <c r="F290" s="297"/>
    </row>
    <row r="291" spans="1:6" ht="16.95" customHeight="1" x14ac:dyDescent="0.25">
      <c r="A291" s="328"/>
      <c r="B291" s="325"/>
      <c r="C291" s="320"/>
      <c r="D291" s="308" t="s">
        <v>18</v>
      </c>
      <c r="E291" s="300">
        <v>1927360.82</v>
      </c>
      <c r="F291" s="297"/>
    </row>
    <row r="292" spans="1:6" ht="16.95" customHeight="1" x14ac:dyDescent="0.25">
      <c r="A292" s="326">
        <v>85</v>
      </c>
      <c r="B292" s="323" t="s">
        <v>73</v>
      </c>
      <c r="C292" s="319">
        <v>7</v>
      </c>
      <c r="D292" s="308" t="s">
        <v>16</v>
      </c>
      <c r="E292" s="300">
        <v>3702831.57</v>
      </c>
      <c r="F292" s="297"/>
    </row>
    <row r="293" spans="1:6" ht="16.95" customHeight="1" x14ac:dyDescent="0.25">
      <c r="A293" s="327"/>
      <c r="B293" s="324"/>
      <c r="C293" s="322"/>
      <c r="D293" s="308" t="s">
        <v>17</v>
      </c>
      <c r="E293" s="300">
        <v>151890.07999999999</v>
      </c>
      <c r="F293" s="297"/>
    </row>
    <row r="294" spans="1:6" ht="16.95" customHeight="1" x14ac:dyDescent="0.25">
      <c r="A294" s="328"/>
      <c r="B294" s="325"/>
      <c r="C294" s="320"/>
      <c r="D294" s="308" t="s">
        <v>18</v>
      </c>
      <c r="E294" s="300">
        <v>3854721.65</v>
      </c>
      <c r="F294" s="297"/>
    </row>
    <row r="295" spans="1:6" ht="16.95" customHeight="1" x14ac:dyDescent="0.25">
      <c r="A295" s="326">
        <v>86</v>
      </c>
      <c r="B295" s="323" t="s">
        <v>73</v>
      </c>
      <c r="C295" s="319">
        <v>11</v>
      </c>
      <c r="D295" s="308" t="s">
        <v>16</v>
      </c>
      <c r="E295" s="282">
        <v>7405663.1399999997</v>
      </c>
      <c r="F295" s="297"/>
    </row>
    <row r="296" spans="1:6" ht="16.95" customHeight="1" x14ac:dyDescent="0.25">
      <c r="A296" s="327"/>
      <c r="B296" s="324"/>
      <c r="C296" s="322"/>
      <c r="D296" s="308" t="s">
        <v>17</v>
      </c>
      <c r="E296" s="282">
        <v>303780.15999999997</v>
      </c>
      <c r="F296" s="297"/>
    </row>
    <row r="297" spans="1:6" ht="16.95" customHeight="1" x14ac:dyDescent="0.25">
      <c r="A297" s="328"/>
      <c r="B297" s="325"/>
      <c r="C297" s="320"/>
      <c r="D297" s="308" t="s">
        <v>18</v>
      </c>
      <c r="E297" s="282">
        <v>7709443.2999999998</v>
      </c>
      <c r="F297" s="297"/>
    </row>
    <row r="298" spans="1:6" ht="16.95" customHeight="1" x14ac:dyDescent="0.25">
      <c r="A298" s="326">
        <v>87</v>
      </c>
      <c r="B298" s="323" t="s">
        <v>73</v>
      </c>
      <c r="C298" s="319">
        <v>19</v>
      </c>
      <c r="D298" s="308" t="s">
        <v>16</v>
      </c>
      <c r="E298" s="300">
        <v>1851415.78</v>
      </c>
      <c r="F298" s="297"/>
    </row>
    <row r="299" spans="1:6" ht="16.95" customHeight="1" x14ac:dyDescent="0.25">
      <c r="A299" s="327"/>
      <c r="B299" s="324"/>
      <c r="C299" s="322"/>
      <c r="D299" s="308" t="s">
        <v>17</v>
      </c>
      <c r="E299" s="300">
        <v>75945.039999999994</v>
      </c>
      <c r="F299" s="297"/>
    </row>
    <row r="300" spans="1:6" ht="16.95" customHeight="1" x14ac:dyDescent="0.25">
      <c r="A300" s="328"/>
      <c r="B300" s="325"/>
      <c r="C300" s="320"/>
      <c r="D300" s="308" t="s">
        <v>18</v>
      </c>
      <c r="E300" s="300">
        <v>1927360.82</v>
      </c>
      <c r="F300" s="297"/>
    </row>
    <row r="301" spans="1:6" ht="16.95" customHeight="1" x14ac:dyDescent="0.25">
      <c r="A301" s="326">
        <v>88</v>
      </c>
      <c r="B301" s="323" t="s">
        <v>73</v>
      </c>
      <c r="C301" s="319">
        <v>21</v>
      </c>
      <c r="D301" s="308" t="s">
        <v>16</v>
      </c>
      <c r="E301" s="300">
        <v>1851415.78</v>
      </c>
      <c r="F301" s="297"/>
    </row>
    <row r="302" spans="1:6" ht="16.95" customHeight="1" x14ac:dyDescent="0.25">
      <c r="A302" s="327"/>
      <c r="B302" s="324"/>
      <c r="C302" s="322"/>
      <c r="D302" s="308" t="s">
        <v>17</v>
      </c>
      <c r="E302" s="300">
        <v>75945.039999999994</v>
      </c>
      <c r="F302" s="297"/>
    </row>
    <row r="303" spans="1:6" ht="16.95" customHeight="1" x14ac:dyDescent="0.25">
      <c r="A303" s="328"/>
      <c r="B303" s="325"/>
      <c r="C303" s="320"/>
      <c r="D303" s="308" t="s">
        <v>18</v>
      </c>
      <c r="E303" s="300">
        <v>1927360.82</v>
      </c>
      <c r="F303" s="297"/>
    </row>
    <row r="304" spans="1:6" ht="16.95" customHeight="1" x14ac:dyDescent="0.25">
      <c r="A304" s="326">
        <v>89</v>
      </c>
      <c r="B304" s="323" t="s">
        <v>73</v>
      </c>
      <c r="C304" s="319">
        <v>22</v>
      </c>
      <c r="D304" s="308" t="s">
        <v>16</v>
      </c>
      <c r="E304" s="300">
        <v>3702831.57</v>
      </c>
      <c r="F304" s="297"/>
    </row>
    <row r="305" spans="1:6" ht="16.95" customHeight="1" x14ac:dyDescent="0.25">
      <c r="A305" s="327"/>
      <c r="B305" s="324"/>
      <c r="C305" s="322"/>
      <c r="D305" s="308" t="s">
        <v>17</v>
      </c>
      <c r="E305" s="300">
        <v>151890.07999999999</v>
      </c>
      <c r="F305" s="297"/>
    </row>
    <row r="306" spans="1:6" ht="16.95" customHeight="1" x14ac:dyDescent="0.25">
      <c r="A306" s="328"/>
      <c r="B306" s="325"/>
      <c r="C306" s="320"/>
      <c r="D306" s="308" t="s">
        <v>18</v>
      </c>
      <c r="E306" s="300">
        <v>3854721.65</v>
      </c>
      <c r="F306" s="297"/>
    </row>
    <row r="307" spans="1:6" ht="16.95" customHeight="1" x14ac:dyDescent="0.25">
      <c r="A307" s="326">
        <v>90</v>
      </c>
      <c r="B307" s="323" t="s">
        <v>73</v>
      </c>
      <c r="C307" s="319">
        <v>23</v>
      </c>
      <c r="D307" s="308" t="s">
        <v>16</v>
      </c>
      <c r="E307" s="300">
        <v>1851415.78</v>
      </c>
      <c r="F307" s="297"/>
    </row>
    <row r="308" spans="1:6" ht="16.95" customHeight="1" x14ac:dyDescent="0.25">
      <c r="A308" s="327"/>
      <c r="B308" s="324"/>
      <c r="C308" s="322"/>
      <c r="D308" s="308" t="s">
        <v>17</v>
      </c>
      <c r="E308" s="300">
        <v>75945.039999999994</v>
      </c>
      <c r="F308" s="297"/>
    </row>
    <row r="309" spans="1:6" ht="16.95" customHeight="1" x14ac:dyDescent="0.25">
      <c r="A309" s="328"/>
      <c r="B309" s="325"/>
      <c r="C309" s="320"/>
      <c r="D309" s="308" t="s">
        <v>18</v>
      </c>
      <c r="E309" s="300">
        <v>1927360.82</v>
      </c>
      <c r="F309" s="297"/>
    </row>
    <row r="310" spans="1:6" ht="16.95" customHeight="1" x14ac:dyDescent="0.25">
      <c r="A310" s="326">
        <v>91</v>
      </c>
      <c r="B310" s="323" t="s">
        <v>73</v>
      </c>
      <c r="C310" s="319">
        <v>24</v>
      </c>
      <c r="D310" s="308" t="s">
        <v>16</v>
      </c>
      <c r="E310" s="300">
        <v>1851415.78</v>
      </c>
      <c r="F310" s="297"/>
    </row>
    <row r="311" spans="1:6" ht="16.95" customHeight="1" x14ac:dyDescent="0.25">
      <c r="A311" s="327"/>
      <c r="B311" s="324"/>
      <c r="C311" s="322"/>
      <c r="D311" s="308" t="s">
        <v>17</v>
      </c>
      <c r="E311" s="300">
        <v>75945.039999999994</v>
      </c>
      <c r="F311" s="297"/>
    </row>
    <row r="312" spans="1:6" ht="16.95" customHeight="1" x14ac:dyDescent="0.25">
      <c r="A312" s="328"/>
      <c r="B312" s="325"/>
      <c r="C312" s="320"/>
      <c r="D312" s="308" t="s">
        <v>18</v>
      </c>
      <c r="E312" s="300">
        <v>1927360.82</v>
      </c>
      <c r="F312" s="297"/>
    </row>
    <row r="313" spans="1:6" ht="16.95" customHeight="1" x14ac:dyDescent="0.25">
      <c r="A313" s="326">
        <v>92</v>
      </c>
      <c r="B313" s="323" t="s">
        <v>73</v>
      </c>
      <c r="C313" s="319">
        <v>25</v>
      </c>
      <c r="D313" s="308" t="s">
        <v>16</v>
      </c>
      <c r="E313" s="300">
        <v>3702831.57</v>
      </c>
      <c r="F313" s="297"/>
    </row>
    <row r="314" spans="1:6" ht="16.95" customHeight="1" x14ac:dyDescent="0.25">
      <c r="A314" s="327"/>
      <c r="B314" s="324"/>
      <c r="C314" s="322"/>
      <c r="D314" s="308" t="s">
        <v>17</v>
      </c>
      <c r="E314" s="300">
        <v>151890.07999999999</v>
      </c>
      <c r="F314" s="297"/>
    </row>
    <row r="315" spans="1:6" ht="16.95" customHeight="1" x14ac:dyDescent="0.25">
      <c r="A315" s="328"/>
      <c r="B315" s="325"/>
      <c r="C315" s="320"/>
      <c r="D315" s="308" t="s">
        <v>18</v>
      </c>
      <c r="E315" s="300">
        <v>3854721.65</v>
      </c>
      <c r="F315" s="297"/>
    </row>
    <row r="316" spans="1:6" ht="16.95" customHeight="1" x14ac:dyDescent="0.25">
      <c r="A316" s="298">
        <v>1</v>
      </c>
      <c r="B316" s="287">
        <v>2</v>
      </c>
      <c r="C316" s="287">
        <v>3</v>
      </c>
      <c r="D316" s="298">
        <v>4</v>
      </c>
      <c r="E316" s="299">
        <v>5</v>
      </c>
      <c r="F316" s="297"/>
    </row>
    <row r="317" spans="1:6" ht="16.95" customHeight="1" x14ac:dyDescent="0.25">
      <c r="A317" s="326">
        <v>93</v>
      </c>
      <c r="B317" s="323" t="s">
        <v>73</v>
      </c>
      <c r="C317" s="319">
        <v>26</v>
      </c>
      <c r="D317" s="308" t="s">
        <v>16</v>
      </c>
      <c r="E317" s="282">
        <v>7405663.1399999997</v>
      </c>
      <c r="F317" s="297"/>
    </row>
    <row r="318" spans="1:6" ht="16.95" customHeight="1" x14ac:dyDescent="0.25">
      <c r="A318" s="327"/>
      <c r="B318" s="324"/>
      <c r="C318" s="322"/>
      <c r="D318" s="308" t="s">
        <v>17</v>
      </c>
      <c r="E318" s="282">
        <v>303780.15999999997</v>
      </c>
      <c r="F318" s="297"/>
    </row>
    <row r="319" spans="1:6" ht="16.95" customHeight="1" x14ac:dyDescent="0.25">
      <c r="A319" s="328"/>
      <c r="B319" s="325"/>
      <c r="C319" s="320"/>
      <c r="D319" s="308" t="s">
        <v>18</v>
      </c>
      <c r="E319" s="282">
        <v>7709443.2999999998</v>
      </c>
      <c r="F319" s="297"/>
    </row>
    <row r="320" spans="1:6" ht="16.95" customHeight="1" x14ac:dyDescent="0.25">
      <c r="A320" s="326">
        <v>94</v>
      </c>
      <c r="B320" s="323" t="s">
        <v>73</v>
      </c>
      <c r="C320" s="319">
        <v>28</v>
      </c>
      <c r="D320" s="308" t="s">
        <v>16</v>
      </c>
      <c r="E320" s="300">
        <v>1851415.78</v>
      </c>
      <c r="F320" s="297"/>
    </row>
    <row r="321" spans="1:6" ht="16.95" customHeight="1" x14ac:dyDescent="0.25">
      <c r="A321" s="327"/>
      <c r="B321" s="324"/>
      <c r="C321" s="322"/>
      <c r="D321" s="308" t="s">
        <v>17</v>
      </c>
      <c r="E321" s="300">
        <v>75945.039999999994</v>
      </c>
      <c r="F321" s="297"/>
    </row>
    <row r="322" spans="1:6" ht="16.95" customHeight="1" x14ac:dyDescent="0.25">
      <c r="A322" s="328"/>
      <c r="B322" s="325"/>
      <c r="C322" s="320"/>
      <c r="D322" s="308" t="s">
        <v>18</v>
      </c>
      <c r="E322" s="300">
        <v>1927360.82</v>
      </c>
      <c r="F322" s="297"/>
    </row>
    <row r="323" spans="1:6" ht="16.95" customHeight="1" x14ac:dyDescent="0.25">
      <c r="A323" s="326">
        <v>95</v>
      </c>
      <c r="B323" s="323" t="s">
        <v>73</v>
      </c>
      <c r="C323" s="319">
        <v>33</v>
      </c>
      <c r="D323" s="308" t="s">
        <v>16</v>
      </c>
      <c r="E323" s="282">
        <v>7405663.1399999997</v>
      </c>
      <c r="F323" s="297"/>
    </row>
    <row r="324" spans="1:6" ht="16.95" customHeight="1" x14ac:dyDescent="0.25">
      <c r="A324" s="327"/>
      <c r="B324" s="324"/>
      <c r="C324" s="322"/>
      <c r="D324" s="308" t="s">
        <v>17</v>
      </c>
      <c r="E324" s="282">
        <v>303780.15999999997</v>
      </c>
      <c r="F324" s="297"/>
    </row>
    <row r="325" spans="1:6" ht="16.95" customHeight="1" x14ac:dyDescent="0.25">
      <c r="A325" s="328"/>
      <c r="B325" s="325"/>
      <c r="C325" s="320"/>
      <c r="D325" s="308" t="s">
        <v>18</v>
      </c>
      <c r="E325" s="282">
        <v>7709443.2999999998</v>
      </c>
      <c r="F325" s="297"/>
    </row>
    <row r="326" spans="1:6" ht="16.95" customHeight="1" x14ac:dyDescent="0.25">
      <c r="A326" s="326">
        <v>96</v>
      </c>
      <c r="B326" s="323" t="s">
        <v>73</v>
      </c>
      <c r="C326" s="319">
        <v>34</v>
      </c>
      <c r="D326" s="308" t="s">
        <v>16</v>
      </c>
      <c r="E326" s="300">
        <v>1851415.78</v>
      </c>
      <c r="F326" s="297"/>
    </row>
    <row r="327" spans="1:6" ht="16.95" customHeight="1" x14ac:dyDescent="0.25">
      <c r="A327" s="327"/>
      <c r="B327" s="324"/>
      <c r="C327" s="322"/>
      <c r="D327" s="308" t="s">
        <v>17</v>
      </c>
      <c r="E327" s="300">
        <v>75945.039999999994</v>
      </c>
      <c r="F327" s="297"/>
    </row>
    <row r="328" spans="1:6" ht="16.95" customHeight="1" x14ac:dyDescent="0.25">
      <c r="A328" s="328"/>
      <c r="B328" s="325"/>
      <c r="C328" s="320"/>
      <c r="D328" s="308" t="s">
        <v>18</v>
      </c>
      <c r="E328" s="300">
        <v>1927360.82</v>
      </c>
      <c r="F328" s="297"/>
    </row>
    <row r="329" spans="1:6" ht="16.95" customHeight="1" x14ac:dyDescent="0.25">
      <c r="A329" s="326">
        <v>97</v>
      </c>
      <c r="B329" s="323" t="s">
        <v>73</v>
      </c>
      <c r="C329" s="319">
        <v>36</v>
      </c>
      <c r="D329" s="308" t="s">
        <v>16</v>
      </c>
      <c r="E329" s="300">
        <v>3702831.57</v>
      </c>
      <c r="F329" s="297"/>
    </row>
    <row r="330" spans="1:6" ht="16.95" customHeight="1" x14ac:dyDescent="0.25">
      <c r="A330" s="327"/>
      <c r="B330" s="324"/>
      <c r="C330" s="322"/>
      <c r="D330" s="308" t="s">
        <v>17</v>
      </c>
      <c r="E330" s="300">
        <v>151890.07999999999</v>
      </c>
      <c r="F330" s="297"/>
    </row>
    <row r="331" spans="1:6" ht="16.95" customHeight="1" x14ac:dyDescent="0.25">
      <c r="A331" s="328"/>
      <c r="B331" s="325"/>
      <c r="C331" s="320"/>
      <c r="D331" s="308" t="s">
        <v>18</v>
      </c>
      <c r="E331" s="300">
        <v>3854721.65</v>
      </c>
      <c r="F331" s="297"/>
    </row>
    <row r="332" spans="1:6" ht="16.95" customHeight="1" x14ac:dyDescent="0.25">
      <c r="A332" s="326">
        <v>98</v>
      </c>
      <c r="B332" s="323" t="s">
        <v>74</v>
      </c>
      <c r="C332" s="319">
        <v>1</v>
      </c>
      <c r="D332" s="308" t="s">
        <v>22</v>
      </c>
      <c r="E332" s="282">
        <v>2377151.2400000002</v>
      </c>
      <c r="F332" s="297"/>
    </row>
    <row r="333" spans="1:6" ht="16.95" customHeight="1" x14ac:dyDescent="0.25">
      <c r="A333" s="327"/>
      <c r="B333" s="324"/>
      <c r="C333" s="322"/>
      <c r="D333" s="308" t="s">
        <v>17</v>
      </c>
      <c r="E333" s="282">
        <v>124000</v>
      </c>
      <c r="F333" s="297"/>
    </row>
    <row r="334" spans="1:6" ht="16.95" customHeight="1" x14ac:dyDescent="0.25">
      <c r="A334" s="328"/>
      <c r="B334" s="325"/>
      <c r="C334" s="320"/>
      <c r="D334" s="308" t="s">
        <v>18</v>
      </c>
      <c r="E334" s="282">
        <v>2501151.2400000002</v>
      </c>
      <c r="F334" s="297"/>
    </row>
    <row r="335" spans="1:6" ht="16.95" customHeight="1" x14ac:dyDescent="0.25">
      <c r="A335" s="326">
        <v>99</v>
      </c>
      <c r="B335" s="321" t="s">
        <v>74</v>
      </c>
      <c r="C335" s="319">
        <v>8</v>
      </c>
      <c r="D335" s="308" t="s">
        <v>22</v>
      </c>
      <c r="E335" s="282">
        <v>2377151.2400000002</v>
      </c>
      <c r="F335" s="297"/>
    </row>
    <row r="336" spans="1:6" ht="16.95" customHeight="1" x14ac:dyDescent="0.25">
      <c r="A336" s="327"/>
      <c r="B336" s="321"/>
      <c r="C336" s="322"/>
      <c r="D336" s="308" t="s">
        <v>17</v>
      </c>
      <c r="E336" s="282">
        <v>124000</v>
      </c>
      <c r="F336" s="297"/>
    </row>
    <row r="337" spans="1:6" ht="16.95" customHeight="1" x14ac:dyDescent="0.25">
      <c r="A337" s="328"/>
      <c r="B337" s="321"/>
      <c r="C337" s="320"/>
      <c r="D337" s="308" t="s">
        <v>18</v>
      </c>
      <c r="E337" s="282">
        <v>2501151.2400000002</v>
      </c>
      <c r="F337" s="297"/>
    </row>
    <row r="338" spans="1:6" ht="16.95" customHeight="1" x14ac:dyDescent="0.25">
      <c r="A338" s="326">
        <v>100</v>
      </c>
      <c r="B338" s="321" t="s">
        <v>74</v>
      </c>
      <c r="C338" s="319">
        <v>10</v>
      </c>
      <c r="D338" s="308" t="s">
        <v>22</v>
      </c>
      <c r="E338" s="282">
        <v>2377151.2400000002</v>
      </c>
      <c r="F338" s="297"/>
    </row>
    <row r="339" spans="1:6" ht="16.95" customHeight="1" x14ac:dyDescent="0.25">
      <c r="A339" s="327"/>
      <c r="B339" s="321"/>
      <c r="C339" s="322"/>
      <c r="D339" s="308" t="s">
        <v>17</v>
      </c>
      <c r="E339" s="282">
        <v>124000</v>
      </c>
      <c r="F339" s="297"/>
    </row>
    <row r="340" spans="1:6" ht="16.95" customHeight="1" x14ac:dyDescent="0.25">
      <c r="A340" s="328"/>
      <c r="B340" s="321"/>
      <c r="C340" s="320"/>
      <c r="D340" s="308" t="s">
        <v>18</v>
      </c>
      <c r="E340" s="282">
        <v>2501151.2400000002</v>
      </c>
      <c r="F340" s="297"/>
    </row>
    <row r="341" spans="1:6" ht="16.95" customHeight="1" x14ac:dyDescent="0.25">
      <c r="A341" s="329">
        <v>101</v>
      </c>
      <c r="B341" s="321" t="s">
        <v>75</v>
      </c>
      <c r="C341" s="330">
        <v>23</v>
      </c>
      <c r="D341" s="308" t="s">
        <v>27</v>
      </c>
      <c r="E341" s="300">
        <v>19917322.890000001</v>
      </c>
      <c r="F341" s="297"/>
    </row>
    <row r="342" spans="1:6" ht="16.95" customHeight="1" x14ac:dyDescent="0.25">
      <c r="A342" s="329"/>
      <c r="B342" s="321"/>
      <c r="C342" s="330"/>
      <c r="D342" s="308" t="s">
        <v>28</v>
      </c>
      <c r="E342" s="300">
        <v>3866136.66</v>
      </c>
      <c r="F342" s="297"/>
    </row>
    <row r="343" spans="1:6" ht="16.95" customHeight="1" x14ac:dyDescent="0.25">
      <c r="A343" s="329"/>
      <c r="B343" s="321"/>
      <c r="C343" s="330"/>
      <c r="D343" s="308" t="s">
        <v>29</v>
      </c>
      <c r="E343" s="300">
        <v>3823919.55</v>
      </c>
      <c r="F343" s="297"/>
    </row>
    <row r="344" spans="1:6" ht="16.95" customHeight="1" x14ac:dyDescent="0.25">
      <c r="A344" s="329"/>
      <c r="B344" s="321"/>
      <c r="C344" s="330"/>
      <c r="D344" s="308" t="s">
        <v>59</v>
      </c>
      <c r="E344" s="300">
        <v>1215410.51</v>
      </c>
      <c r="F344" s="297"/>
    </row>
    <row r="345" spans="1:6" ht="16.95" customHeight="1" x14ac:dyDescent="0.25">
      <c r="A345" s="298">
        <v>1</v>
      </c>
      <c r="B345" s="287">
        <v>2</v>
      </c>
      <c r="C345" s="287">
        <v>3</v>
      </c>
      <c r="D345" s="298">
        <v>4</v>
      </c>
      <c r="E345" s="299">
        <v>5</v>
      </c>
      <c r="F345" s="297"/>
    </row>
    <row r="346" spans="1:6" ht="16.95" customHeight="1" x14ac:dyDescent="0.25">
      <c r="A346" s="327"/>
      <c r="B346" s="322"/>
      <c r="C346" s="322"/>
      <c r="D346" s="308" t="s">
        <v>30</v>
      </c>
      <c r="E346" s="300">
        <v>3832541.35</v>
      </c>
      <c r="F346" s="297"/>
    </row>
    <row r="347" spans="1:6" ht="16.95" customHeight="1" x14ac:dyDescent="0.25">
      <c r="A347" s="327"/>
      <c r="B347" s="322"/>
      <c r="C347" s="322"/>
      <c r="D347" s="308" t="s">
        <v>32</v>
      </c>
      <c r="E347" s="300">
        <v>1457558.06</v>
      </c>
      <c r="F347" s="297"/>
    </row>
    <row r="348" spans="1:6" ht="16.95" customHeight="1" x14ac:dyDescent="0.25">
      <c r="A348" s="328"/>
      <c r="B348" s="320"/>
      <c r="C348" s="320"/>
      <c r="D348" s="308" t="s">
        <v>18</v>
      </c>
      <c r="E348" s="300">
        <v>34112889.020000003</v>
      </c>
      <c r="F348" s="297"/>
    </row>
    <row r="349" spans="1:6" ht="16.95" customHeight="1" x14ac:dyDescent="0.25">
      <c r="A349" s="329">
        <v>102</v>
      </c>
      <c r="B349" s="338" t="s">
        <v>76</v>
      </c>
      <c r="C349" s="339">
        <v>4</v>
      </c>
      <c r="D349" s="308" t="s">
        <v>77</v>
      </c>
      <c r="E349" s="300">
        <v>1787495.94</v>
      </c>
      <c r="F349" s="297"/>
    </row>
    <row r="350" spans="1:6" ht="16.95" customHeight="1" x14ac:dyDescent="0.25">
      <c r="A350" s="329"/>
      <c r="B350" s="338"/>
      <c r="C350" s="339"/>
      <c r="D350" s="308" t="s">
        <v>32</v>
      </c>
      <c r="E350" s="300">
        <v>486639.82</v>
      </c>
      <c r="F350" s="297"/>
    </row>
    <row r="351" spans="1:6" ht="16.95" customHeight="1" x14ac:dyDescent="0.25">
      <c r="A351" s="329"/>
      <c r="B351" s="338"/>
      <c r="C351" s="339"/>
      <c r="D351" s="308" t="s">
        <v>18</v>
      </c>
      <c r="E351" s="300">
        <v>2274135.7599999998</v>
      </c>
      <c r="F351" s="297"/>
    </row>
    <row r="352" spans="1:6" ht="16.95" customHeight="1" x14ac:dyDescent="0.25">
      <c r="A352" s="329">
        <v>103</v>
      </c>
      <c r="B352" s="337" t="s">
        <v>865</v>
      </c>
      <c r="C352" s="330" t="s">
        <v>78</v>
      </c>
      <c r="D352" s="308" t="s">
        <v>59</v>
      </c>
      <c r="E352" s="300">
        <v>1215410.51</v>
      </c>
      <c r="F352" s="297"/>
    </row>
    <row r="353" spans="1:6" ht="16.95" customHeight="1" x14ac:dyDescent="0.25">
      <c r="A353" s="329"/>
      <c r="B353" s="321"/>
      <c r="C353" s="330"/>
      <c r="D353" s="308" t="s">
        <v>32</v>
      </c>
      <c r="E353" s="300">
        <v>224000</v>
      </c>
      <c r="F353" s="297"/>
    </row>
    <row r="354" spans="1:6" ht="16.95" customHeight="1" x14ac:dyDescent="0.25">
      <c r="A354" s="329"/>
      <c r="B354" s="321"/>
      <c r="C354" s="330"/>
      <c r="D354" s="308" t="s">
        <v>18</v>
      </c>
      <c r="E354" s="300">
        <v>1439410.51</v>
      </c>
      <c r="F354" s="297"/>
    </row>
    <row r="355" spans="1:6" ht="16.95" customHeight="1" x14ac:dyDescent="0.25">
      <c r="A355" s="329">
        <v>104</v>
      </c>
      <c r="B355" s="321" t="s">
        <v>79</v>
      </c>
      <c r="C355" s="330" t="s">
        <v>80</v>
      </c>
      <c r="D355" s="308" t="s">
        <v>16</v>
      </c>
      <c r="E355" s="300">
        <v>5554247.3499999996</v>
      </c>
      <c r="F355" s="297"/>
    </row>
    <row r="356" spans="1:6" ht="16.95" customHeight="1" x14ac:dyDescent="0.25">
      <c r="A356" s="329"/>
      <c r="B356" s="321"/>
      <c r="C356" s="330"/>
      <c r="D356" s="308" t="s">
        <v>32</v>
      </c>
      <c r="E356" s="300">
        <v>227835.12</v>
      </c>
      <c r="F356" s="297"/>
    </row>
    <row r="357" spans="1:6" ht="16.95" customHeight="1" x14ac:dyDescent="0.25">
      <c r="A357" s="329"/>
      <c r="B357" s="321"/>
      <c r="C357" s="330"/>
      <c r="D357" s="308" t="s">
        <v>18</v>
      </c>
      <c r="E357" s="300">
        <v>5782082.4699999997</v>
      </c>
      <c r="F357" s="297"/>
    </row>
    <row r="358" spans="1:6" ht="16.95" customHeight="1" x14ac:dyDescent="0.25">
      <c r="A358" s="326">
        <v>105</v>
      </c>
      <c r="B358" s="323" t="s">
        <v>81</v>
      </c>
      <c r="C358" s="319">
        <v>102</v>
      </c>
      <c r="D358" s="308" t="s">
        <v>16</v>
      </c>
      <c r="E358" s="282">
        <v>7405663.1399999997</v>
      </c>
      <c r="F358" s="297"/>
    </row>
    <row r="359" spans="1:6" ht="16.95" customHeight="1" x14ac:dyDescent="0.25">
      <c r="A359" s="327"/>
      <c r="B359" s="324"/>
      <c r="C359" s="322"/>
      <c r="D359" s="308" t="s">
        <v>17</v>
      </c>
      <c r="E359" s="282">
        <v>303780.15999999997</v>
      </c>
      <c r="F359" s="297"/>
    </row>
    <row r="360" spans="1:6" ht="16.95" customHeight="1" x14ac:dyDescent="0.25">
      <c r="A360" s="328"/>
      <c r="B360" s="325"/>
      <c r="C360" s="320"/>
      <c r="D360" s="308" t="s">
        <v>18</v>
      </c>
      <c r="E360" s="282">
        <v>7709443.2999999998</v>
      </c>
      <c r="F360" s="297"/>
    </row>
    <row r="361" spans="1:6" ht="16.95" customHeight="1" x14ac:dyDescent="0.25">
      <c r="A361" s="326">
        <v>106</v>
      </c>
      <c r="B361" s="323" t="s">
        <v>81</v>
      </c>
      <c r="C361" s="319" t="s">
        <v>82</v>
      </c>
      <c r="D361" s="308" t="s">
        <v>16</v>
      </c>
      <c r="E361" s="300">
        <v>1851415.78</v>
      </c>
      <c r="F361" s="297"/>
    </row>
    <row r="362" spans="1:6" ht="16.95" customHeight="1" x14ac:dyDescent="0.25">
      <c r="A362" s="327"/>
      <c r="B362" s="324"/>
      <c r="C362" s="322"/>
      <c r="D362" s="308" t="s">
        <v>17</v>
      </c>
      <c r="E362" s="300">
        <v>75945.039999999994</v>
      </c>
      <c r="F362" s="297"/>
    </row>
    <row r="363" spans="1:6" ht="16.95" customHeight="1" x14ac:dyDescent="0.25">
      <c r="A363" s="328"/>
      <c r="B363" s="325"/>
      <c r="C363" s="320"/>
      <c r="D363" s="308" t="s">
        <v>18</v>
      </c>
      <c r="E363" s="300">
        <v>1927360.82</v>
      </c>
      <c r="F363" s="297"/>
    </row>
    <row r="364" spans="1:6" ht="16.95" customHeight="1" x14ac:dyDescent="0.25">
      <c r="A364" s="329">
        <v>107</v>
      </c>
      <c r="B364" s="321" t="s">
        <v>81</v>
      </c>
      <c r="C364" s="330" t="s">
        <v>83</v>
      </c>
      <c r="D364" s="308" t="s">
        <v>16</v>
      </c>
      <c r="E364" s="300">
        <v>1851415.78</v>
      </c>
      <c r="F364" s="297"/>
    </row>
    <row r="365" spans="1:6" ht="16.95" customHeight="1" x14ac:dyDescent="0.25">
      <c r="A365" s="329"/>
      <c r="B365" s="321"/>
      <c r="C365" s="330"/>
      <c r="D365" s="308" t="s">
        <v>17</v>
      </c>
      <c r="E365" s="300">
        <v>75945.039999999994</v>
      </c>
      <c r="F365" s="297"/>
    </row>
    <row r="366" spans="1:6" ht="16.95" customHeight="1" x14ac:dyDescent="0.25">
      <c r="A366" s="329"/>
      <c r="B366" s="321"/>
      <c r="C366" s="330"/>
      <c r="D366" s="308" t="s">
        <v>18</v>
      </c>
      <c r="E366" s="300">
        <v>1927360.82</v>
      </c>
      <c r="F366" s="297"/>
    </row>
    <row r="367" spans="1:6" ht="16.95" customHeight="1" x14ac:dyDescent="0.25">
      <c r="A367" s="329">
        <v>108</v>
      </c>
      <c r="B367" s="321" t="s">
        <v>81</v>
      </c>
      <c r="C367" s="330" t="s">
        <v>84</v>
      </c>
      <c r="D367" s="308" t="s">
        <v>16</v>
      </c>
      <c r="E367" s="300">
        <v>3702831.57</v>
      </c>
      <c r="F367" s="297"/>
    </row>
    <row r="368" spans="1:6" ht="16.95" customHeight="1" x14ac:dyDescent="0.25">
      <c r="A368" s="329"/>
      <c r="B368" s="321"/>
      <c r="C368" s="330"/>
      <c r="D368" s="308" t="s">
        <v>17</v>
      </c>
      <c r="E368" s="300">
        <v>151890.07999999999</v>
      </c>
      <c r="F368" s="297"/>
    </row>
    <row r="369" spans="1:6" ht="16.95" customHeight="1" x14ac:dyDescent="0.25">
      <c r="A369" s="329"/>
      <c r="B369" s="321"/>
      <c r="C369" s="330"/>
      <c r="D369" s="308" t="s">
        <v>18</v>
      </c>
      <c r="E369" s="300">
        <v>3854721.65</v>
      </c>
      <c r="F369" s="297"/>
    </row>
    <row r="370" spans="1:6" ht="16.95" customHeight="1" x14ac:dyDescent="0.25">
      <c r="A370" s="329">
        <v>109</v>
      </c>
      <c r="B370" s="321" t="s">
        <v>81</v>
      </c>
      <c r="C370" s="330" t="s">
        <v>85</v>
      </c>
      <c r="D370" s="308" t="s">
        <v>16</v>
      </c>
      <c r="E370" s="300">
        <v>1851415.78</v>
      </c>
      <c r="F370" s="297"/>
    </row>
    <row r="371" spans="1:6" ht="16.95" customHeight="1" x14ac:dyDescent="0.25">
      <c r="A371" s="329"/>
      <c r="B371" s="321"/>
      <c r="C371" s="330"/>
      <c r="D371" s="308" t="s">
        <v>17</v>
      </c>
      <c r="E371" s="300">
        <v>75945.039999999994</v>
      </c>
      <c r="F371" s="297"/>
    </row>
    <row r="372" spans="1:6" ht="16.95" customHeight="1" x14ac:dyDescent="0.25">
      <c r="A372" s="329"/>
      <c r="B372" s="321"/>
      <c r="C372" s="330"/>
      <c r="D372" s="308" t="s">
        <v>18</v>
      </c>
      <c r="E372" s="300">
        <v>1927360.82</v>
      </c>
      <c r="F372" s="297"/>
    </row>
    <row r="373" spans="1:6" ht="16.95" customHeight="1" x14ac:dyDescent="0.25">
      <c r="A373" s="298">
        <v>110</v>
      </c>
      <c r="B373" s="286" t="s">
        <v>81</v>
      </c>
      <c r="C373" s="287" t="s">
        <v>86</v>
      </c>
      <c r="D373" s="308" t="s">
        <v>16</v>
      </c>
      <c r="E373" s="300">
        <v>3702831.57</v>
      </c>
      <c r="F373" s="297"/>
    </row>
    <row r="374" spans="1:6" ht="16.95" customHeight="1" x14ac:dyDescent="0.25">
      <c r="A374" s="298">
        <v>1</v>
      </c>
      <c r="B374" s="287">
        <v>2</v>
      </c>
      <c r="C374" s="287">
        <v>3</v>
      </c>
      <c r="D374" s="298">
        <v>4</v>
      </c>
      <c r="E374" s="299">
        <v>5</v>
      </c>
      <c r="F374" s="297"/>
    </row>
    <row r="375" spans="1:6" ht="16.95" customHeight="1" x14ac:dyDescent="0.25">
      <c r="A375" s="327"/>
      <c r="B375" s="322"/>
      <c r="C375" s="322"/>
      <c r="D375" s="308" t="s">
        <v>17</v>
      </c>
      <c r="E375" s="300">
        <v>151890.07999999999</v>
      </c>
      <c r="F375" s="297"/>
    </row>
    <row r="376" spans="1:6" ht="16.95" customHeight="1" x14ac:dyDescent="0.25">
      <c r="A376" s="328"/>
      <c r="B376" s="320"/>
      <c r="C376" s="320"/>
      <c r="D376" s="308" t="s">
        <v>18</v>
      </c>
      <c r="E376" s="300">
        <v>3854721.65</v>
      </c>
      <c r="F376" s="297"/>
    </row>
    <row r="377" spans="1:6" ht="16.95" customHeight="1" x14ac:dyDescent="0.25">
      <c r="A377" s="329">
        <v>111</v>
      </c>
      <c r="B377" s="321" t="s">
        <v>81</v>
      </c>
      <c r="C377" s="330">
        <v>160</v>
      </c>
      <c r="D377" s="308" t="s">
        <v>16</v>
      </c>
      <c r="E377" s="282">
        <v>7405663.1399999997</v>
      </c>
      <c r="F377" s="297"/>
    </row>
    <row r="378" spans="1:6" ht="16.95" customHeight="1" x14ac:dyDescent="0.25">
      <c r="A378" s="329"/>
      <c r="B378" s="321"/>
      <c r="C378" s="330"/>
      <c r="D378" s="308" t="s">
        <v>17</v>
      </c>
      <c r="E378" s="282">
        <v>303780.15999999997</v>
      </c>
      <c r="F378" s="297"/>
    </row>
    <row r="379" spans="1:6" ht="16.95" customHeight="1" x14ac:dyDescent="0.25">
      <c r="A379" s="329"/>
      <c r="B379" s="321"/>
      <c r="C379" s="330"/>
      <c r="D379" s="308" t="s">
        <v>18</v>
      </c>
      <c r="E379" s="282">
        <v>7709443.2999999998</v>
      </c>
      <c r="F379" s="297"/>
    </row>
    <row r="380" spans="1:6" ht="16.95" customHeight="1" x14ac:dyDescent="0.25">
      <c r="A380" s="326">
        <v>112</v>
      </c>
      <c r="B380" s="323" t="s">
        <v>81</v>
      </c>
      <c r="C380" s="319">
        <v>164</v>
      </c>
      <c r="D380" s="308" t="s">
        <v>16</v>
      </c>
      <c r="E380" s="282">
        <v>7405663.1399999997</v>
      </c>
      <c r="F380" s="297"/>
    </row>
    <row r="381" spans="1:6" ht="16.95" customHeight="1" x14ac:dyDescent="0.25">
      <c r="A381" s="327"/>
      <c r="B381" s="324"/>
      <c r="C381" s="322"/>
      <c r="D381" s="308" t="s">
        <v>17</v>
      </c>
      <c r="E381" s="282">
        <v>303780.15999999997</v>
      </c>
      <c r="F381" s="297"/>
    </row>
    <row r="382" spans="1:6" ht="16.95" customHeight="1" x14ac:dyDescent="0.25">
      <c r="A382" s="328"/>
      <c r="B382" s="325"/>
      <c r="C382" s="320"/>
      <c r="D382" s="308" t="s">
        <v>18</v>
      </c>
      <c r="E382" s="282">
        <v>7709443.2999999998</v>
      </c>
      <c r="F382" s="297"/>
    </row>
    <row r="383" spans="1:6" ht="16.95" customHeight="1" x14ac:dyDescent="0.25">
      <c r="A383" s="329">
        <v>113</v>
      </c>
      <c r="B383" s="321" t="s">
        <v>81</v>
      </c>
      <c r="C383" s="330">
        <v>166</v>
      </c>
      <c r="D383" s="308" t="s">
        <v>16</v>
      </c>
      <c r="E383" s="300">
        <v>3702831.57</v>
      </c>
      <c r="F383" s="297"/>
    </row>
    <row r="384" spans="1:6" ht="16.95" customHeight="1" x14ac:dyDescent="0.25">
      <c r="A384" s="329"/>
      <c r="B384" s="321"/>
      <c r="C384" s="330"/>
      <c r="D384" s="308" t="s">
        <v>17</v>
      </c>
      <c r="E384" s="300">
        <v>151890.07999999999</v>
      </c>
      <c r="F384" s="297"/>
    </row>
    <row r="385" spans="1:6" ht="16.95" customHeight="1" x14ac:dyDescent="0.25">
      <c r="A385" s="329"/>
      <c r="B385" s="321"/>
      <c r="C385" s="330"/>
      <c r="D385" s="308" t="s">
        <v>18</v>
      </c>
      <c r="E385" s="300">
        <v>3854721.65</v>
      </c>
      <c r="F385" s="297"/>
    </row>
    <row r="386" spans="1:6" ht="16.95" customHeight="1" x14ac:dyDescent="0.25">
      <c r="A386" s="326">
        <v>114</v>
      </c>
      <c r="B386" s="323" t="s">
        <v>81</v>
      </c>
      <c r="C386" s="319">
        <v>168</v>
      </c>
      <c r="D386" s="308" t="s">
        <v>16</v>
      </c>
      <c r="E386" s="282">
        <v>7405663.1399999997</v>
      </c>
      <c r="F386" s="297"/>
    </row>
    <row r="387" spans="1:6" ht="16.95" customHeight="1" x14ac:dyDescent="0.25">
      <c r="A387" s="327"/>
      <c r="B387" s="324"/>
      <c r="C387" s="322"/>
      <c r="D387" s="308" t="s">
        <v>17</v>
      </c>
      <c r="E387" s="282">
        <v>303780.15999999997</v>
      </c>
      <c r="F387" s="297"/>
    </row>
    <row r="388" spans="1:6" ht="16.95" customHeight="1" x14ac:dyDescent="0.25">
      <c r="A388" s="328"/>
      <c r="B388" s="325"/>
      <c r="C388" s="320"/>
      <c r="D388" s="308" t="s">
        <v>18</v>
      </c>
      <c r="E388" s="282">
        <v>7709443.2999999998</v>
      </c>
      <c r="F388" s="297"/>
    </row>
    <row r="389" spans="1:6" ht="16.95" customHeight="1" x14ac:dyDescent="0.25">
      <c r="A389" s="329">
        <v>115</v>
      </c>
      <c r="B389" s="321" t="s">
        <v>81</v>
      </c>
      <c r="C389" s="330" t="s">
        <v>87</v>
      </c>
      <c r="D389" s="308" t="s">
        <v>16</v>
      </c>
      <c r="E389" s="300">
        <v>5554247.3499999996</v>
      </c>
      <c r="F389" s="297"/>
    </row>
    <row r="390" spans="1:6" ht="16.95" customHeight="1" x14ac:dyDescent="0.25">
      <c r="A390" s="329"/>
      <c r="B390" s="321"/>
      <c r="C390" s="330"/>
      <c r="D390" s="308" t="s">
        <v>17</v>
      </c>
      <c r="E390" s="300">
        <v>227835.12</v>
      </c>
      <c r="F390" s="297"/>
    </row>
    <row r="391" spans="1:6" ht="16.95" customHeight="1" x14ac:dyDescent="0.25">
      <c r="A391" s="329"/>
      <c r="B391" s="321"/>
      <c r="C391" s="330"/>
      <c r="D391" s="308" t="s">
        <v>18</v>
      </c>
      <c r="E391" s="300">
        <v>5782082.4699999997</v>
      </c>
      <c r="F391" s="297"/>
    </row>
    <row r="392" spans="1:6" ht="16.95" customHeight="1" x14ac:dyDescent="0.25">
      <c r="A392" s="329">
        <v>116</v>
      </c>
      <c r="B392" s="321" t="s">
        <v>81</v>
      </c>
      <c r="C392" s="330" t="s">
        <v>88</v>
      </c>
      <c r="D392" s="308" t="s">
        <v>16</v>
      </c>
      <c r="E392" s="300">
        <v>3702831.57</v>
      </c>
      <c r="F392" s="297"/>
    </row>
    <row r="393" spans="1:6" ht="16.95" customHeight="1" x14ac:dyDescent="0.25">
      <c r="A393" s="329"/>
      <c r="B393" s="321"/>
      <c r="C393" s="330"/>
      <c r="D393" s="308" t="s">
        <v>17</v>
      </c>
      <c r="E393" s="300">
        <v>151890.07999999999</v>
      </c>
      <c r="F393" s="297"/>
    </row>
    <row r="394" spans="1:6" ht="16.95" customHeight="1" x14ac:dyDescent="0.25">
      <c r="A394" s="329"/>
      <c r="B394" s="321"/>
      <c r="C394" s="330"/>
      <c r="D394" s="308" t="s">
        <v>18</v>
      </c>
      <c r="E394" s="300">
        <v>3854721.65</v>
      </c>
      <c r="F394" s="297"/>
    </row>
    <row r="395" spans="1:6" ht="16.95" customHeight="1" x14ac:dyDescent="0.25">
      <c r="A395" s="329">
        <v>117</v>
      </c>
      <c r="B395" s="321" t="s">
        <v>81</v>
      </c>
      <c r="C395" s="330">
        <v>210</v>
      </c>
      <c r="D395" s="308" t="s">
        <v>16</v>
      </c>
      <c r="E395" s="300">
        <v>4351415.78</v>
      </c>
      <c r="F395" s="297"/>
    </row>
    <row r="396" spans="1:6" ht="16.95" customHeight="1" x14ac:dyDescent="0.25">
      <c r="A396" s="329"/>
      <c r="B396" s="321"/>
      <c r="C396" s="330"/>
      <c r="D396" s="308" t="s">
        <v>17</v>
      </c>
      <c r="E396" s="280">
        <v>175945.04</v>
      </c>
      <c r="F396" s="297"/>
    </row>
    <row r="397" spans="1:6" ht="16.95" customHeight="1" x14ac:dyDescent="0.25">
      <c r="A397" s="329"/>
      <c r="B397" s="321"/>
      <c r="C397" s="330"/>
      <c r="D397" s="308" t="s">
        <v>18</v>
      </c>
      <c r="E397" s="300">
        <f>SUM(E395:E396)</f>
        <v>4527360.82</v>
      </c>
      <c r="F397" s="297"/>
    </row>
    <row r="398" spans="1:6" ht="16.95" customHeight="1" x14ac:dyDescent="0.25">
      <c r="A398" s="329">
        <v>118</v>
      </c>
      <c r="B398" s="321" t="s">
        <v>81</v>
      </c>
      <c r="C398" s="330">
        <v>212</v>
      </c>
      <c r="D398" s="308" t="s">
        <v>16</v>
      </c>
      <c r="E398" s="300">
        <v>4351415.78</v>
      </c>
      <c r="F398" s="297"/>
    </row>
    <row r="399" spans="1:6" ht="16.95" customHeight="1" x14ac:dyDescent="0.25">
      <c r="A399" s="329"/>
      <c r="B399" s="321"/>
      <c r="C399" s="330"/>
      <c r="D399" s="308" t="s">
        <v>17</v>
      </c>
      <c r="E399" s="280">
        <v>175945.04</v>
      </c>
      <c r="F399" s="297"/>
    </row>
    <row r="400" spans="1:6" ht="16.95" customHeight="1" x14ac:dyDescent="0.25">
      <c r="A400" s="329"/>
      <c r="B400" s="321"/>
      <c r="C400" s="330"/>
      <c r="D400" s="308" t="s">
        <v>18</v>
      </c>
      <c r="E400" s="300">
        <f>SUM(E398:E399)</f>
        <v>4527360.82</v>
      </c>
      <c r="F400" s="297"/>
    </row>
    <row r="401" spans="1:6" ht="16.95" customHeight="1" x14ac:dyDescent="0.25">
      <c r="A401" s="329">
        <v>119</v>
      </c>
      <c r="B401" s="337" t="s">
        <v>866</v>
      </c>
      <c r="C401" s="330" t="s">
        <v>15</v>
      </c>
      <c r="D401" s="308" t="s">
        <v>26</v>
      </c>
      <c r="E401" s="300">
        <v>3044590.83</v>
      </c>
      <c r="F401" s="297"/>
    </row>
    <row r="402" spans="1:6" ht="16.95" customHeight="1" x14ac:dyDescent="0.25">
      <c r="A402" s="329"/>
      <c r="B402" s="321"/>
      <c r="C402" s="330"/>
      <c r="D402" s="308" t="s">
        <v>32</v>
      </c>
      <c r="E402" s="300">
        <v>805361.2</v>
      </c>
      <c r="F402" s="297"/>
    </row>
    <row r="403" spans="1:6" ht="16.95" customHeight="1" x14ac:dyDescent="0.25">
      <c r="A403" s="298">
        <v>1</v>
      </c>
      <c r="B403" s="287">
        <v>2</v>
      </c>
      <c r="C403" s="287">
        <v>3</v>
      </c>
      <c r="D403" s="298">
        <v>4</v>
      </c>
      <c r="E403" s="299">
        <v>5</v>
      </c>
      <c r="F403" s="297"/>
    </row>
    <row r="404" spans="1:6" ht="16.95" customHeight="1" x14ac:dyDescent="0.25">
      <c r="A404" s="329">
        <v>120</v>
      </c>
      <c r="B404" s="321" t="s">
        <v>91</v>
      </c>
      <c r="C404" s="330">
        <v>3</v>
      </c>
      <c r="D404" s="308" t="s">
        <v>24</v>
      </c>
      <c r="E404" s="300">
        <v>11199405.039999999</v>
      </c>
      <c r="F404" s="297"/>
    </row>
    <row r="405" spans="1:6" ht="16.95" customHeight="1" x14ac:dyDescent="0.25">
      <c r="A405" s="329"/>
      <c r="B405" s="321"/>
      <c r="C405" s="330"/>
      <c r="D405" s="308" t="s">
        <v>32</v>
      </c>
      <c r="E405" s="300">
        <v>559881.46</v>
      </c>
      <c r="F405" s="297"/>
    </row>
    <row r="406" spans="1:6" ht="16.95" customHeight="1" x14ac:dyDescent="0.25">
      <c r="A406" s="329"/>
      <c r="B406" s="321"/>
      <c r="C406" s="330"/>
      <c r="D406" s="308" t="s">
        <v>18</v>
      </c>
      <c r="E406" s="300">
        <v>11759286.5</v>
      </c>
      <c r="F406" s="297"/>
    </row>
    <row r="407" spans="1:6" ht="16.95" customHeight="1" x14ac:dyDescent="0.25">
      <c r="A407" s="326">
        <v>121</v>
      </c>
      <c r="B407" s="323" t="s">
        <v>89</v>
      </c>
      <c r="C407" s="319">
        <v>2</v>
      </c>
      <c r="D407" s="308" t="s">
        <v>16</v>
      </c>
      <c r="E407" s="300">
        <v>3702831.57</v>
      </c>
      <c r="F407" s="297"/>
    </row>
    <row r="408" spans="1:6" ht="16.95" customHeight="1" x14ac:dyDescent="0.25">
      <c r="A408" s="327"/>
      <c r="B408" s="324"/>
      <c r="C408" s="322"/>
      <c r="D408" s="308" t="s">
        <v>17</v>
      </c>
      <c r="E408" s="300">
        <v>151890.07999999999</v>
      </c>
      <c r="F408" s="297"/>
    </row>
    <row r="409" spans="1:6" ht="16.95" customHeight="1" x14ac:dyDescent="0.25">
      <c r="A409" s="328"/>
      <c r="B409" s="325"/>
      <c r="C409" s="320"/>
      <c r="D409" s="308" t="s">
        <v>18</v>
      </c>
      <c r="E409" s="300">
        <v>3854721.65</v>
      </c>
      <c r="F409" s="297"/>
    </row>
    <row r="410" spans="1:6" ht="16.95" customHeight="1" x14ac:dyDescent="0.25">
      <c r="A410" s="329">
        <v>122</v>
      </c>
      <c r="B410" s="321" t="s">
        <v>92</v>
      </c>
      <c r="C410" s="330">
        <v>1</v>
      </c>
      <c r="D410" s="308" t="s">
        <v>16</v>
      </c>
      <c r="E410" s="300">
        <v>3702831.57</v>
      </c>
      <c r="F410" s="297"/>
    </row>
    <row r="411" spans="1:6" ht="16.95" customHeight="1" x14ac:dyDescent="0.25">
      <c r="A411" s="329"/>
      <c r="B411" s="321"/>
      <c r="C411" s="330"/>
      <c r="D411" s="308" t="s">
        <v>17</v>
      </c>
      <c r="E411" s="300">
        <v>151890.07999999999</v>
      </c>
      <c r="F411" s="297"/>
    </row>
    <row r="412" spans="1:6" ht="16.95" customHeight="1" x14ac:dyDescent="0.25">
      <c r="A412" s="329"/>
      <c r="B412" s="321"/>
      <c r="C412" s="330"/>
      <c r="D412" s="308" t="s">
        <v>18</v>
      </c>
      <c r="E412" s="300">
        <v>3854721.65</v>
      </c>
      <c r="F412" s="297"/>
    </row>
    <row r="413" spans="1:6" ht="16.95" customHeight="1" x14ac:dyDescent="0.25">
      <c r="A413" s="329">
        <v>123</v>
      </c>
      <c r="B413" s="321" t="s">
        <v>92</v>
      </c>
      <c r="C413" s="330">
        <v>9</v>
      </c>
      <c r="D413" s="308" t="s">
        <v>16</v>
      </c>
      <c r="E413" s="300">
        <v>11108494.710000001</v>
      </c>
      <c r="F413" s="297"/>
    </row>
    <row r="414" spans="1:6" ht="16.95" customHeight="1" x14ac:dyDescent="0.25">
      <c r="A414" s="329"/>
      <c r="B414" s="321"/>
      <c r="C414" s="330"/>
      <c r="D414" s="308" t="s">
        <v>17</v>
      </c>
      <c r="E414" s="300">
        <v>455670.24</v>
      </c>
      <c r="F414" s="297"/>
    </row>
    <row r="415" spans="1:6" ht="16.95" customHeight="1" x14ac:dyDescent="0.25">
      <c r="A415" s="329"/>
      <c r="B415" s="321"/>
      <c r="C415" s="330"/>
      <c r="D415" s="308" t="s">
        <v>18</v>
      </c>
      <c r="E415" s="300">
        <v>11564164.949999999</v>
      </c>
      <c r="F415" s="297"/>
    </row>
    <row r="416" spans="1:6" ht="16.95" customHeight="1" x14ac:dyDescent="0.25">
      <c r="A416" s="329">
        <v>124</v>
      </c>
      <c r="B416" s="337" t="s">
        <v>867</v>
      </c>
      <c r="C416" s="330">
        <v>17</v>
      </c>
      <c r="D416" s="308" t="s">
        <v>59</v>
      </c>
      <c r="E416" s="300">
        <v>1215410.51</v>
      </c>
      <c r="F416" s="297"/>
    </row>
    <row r="417" spans="1:6" ht="16.95" customHeight="1" x14ac:dyDescent="0.25">
      <c r="A417" s="329"/>
      <c r="B417" s="321"/>
      <c r="C417" s="330"/>
      <c r="D417" s="308" t="s">
        <v>32</v>
      </c>
      <c r="E417" s="300">
        <v>224000</v>
      </c>
      <c r="F417" s="297"/>
    </row>
    <row r="418" spans="1:6" ht="16.95" customHeight="1" x14ac:dyDescent="0.25">
      <c r="A418" s="329"/>
      <c r="B418" s="321"/>
      <c r="C418" s="330"/>
      <c r="D418" s="308" t="s">
        <v>18</v>
      </c>
      <c r="E418" s="300">
        <v>1439410.51</v>
      </c>
      <c r="F418" s="297"/>
    </row>
    <row r="419" spans="1:6" ht="16.95" customHeight="1" x14ac:dyDescent="0.25">
      <c r="A419" s="326">
        <v>125</v>
      </c>
      <c r="B419" s="323" t="s">
        <v>94</v>
      </c>
      <c r="C419" s="319">
        <v>29</v>
      </c>
      <c r="D419" s="308" t="s">
        <v>26</v>
      </c>
      <c r="E419" s="300">
        <v>1473663.28</v>
      </c>
      <c r="F419" s="297"/>
    </row>
    <row r="420" spans="1:6" ht="16.95" customHeight="1" x14ac:dyDescent="0.25">
      <c r="A420" s="327"/>
      <c r="B420" s="324"/>
      <c r="C420" s="322"/>
      <c r="D420" s="308" t="s">
        <v>27</v>
      </c>
      <c r="E420" s="300">
        <v>2084052.81</v>
      </c>
      <c r="F420" s="297"/>
    </row>
    <row r="421" spans="1:6" ht="16.95" customHeight="1" x14ac:dyDescent="0.25">
      <c r="A421" s="327"/>
      <c r="B421" s="324"/>
      <c r="C421" s="322"/>
      <c r="D421" s="308" t="s">
        <v>28</v>
      </c>
      <c r="E421" s="300">
        <v>1426147.35</v>
      </c>
      <c r="F421" s="297"/>
    </row>
    <row r="422" spans="1:6" ht="16.95" customHeight="1" x14ac:dyDescent="0.25">
      <c r="A422" s="327"/>
      <c r="B422" s="324"/>
      <c r="C422" s="322"/>
      <c r="D422" s="308" t="s">
        <v>29</v>
      </c>
      <c r="E422" s="300">
        <v>1410603.64</v>
      </c>
      <c r="F422" s="297"/>
    </row>
    <row r="423" spans="1:6" ht="16.95" customHeight="1" x14ac:dyDescent="0.25">
      <c r="A423" s="327"/>
      <c r="B423" s="324"/>
      <c r="C423" s="322"/>
      <c r="D423" s="308" t="s">
        <v>30</v>
      </c>
      <c r="E423" s="300">
        <v>2570092.67</v>
      </c>
      <c r="F423" s="297"/>
    </row>
    <row r="424" spans="1:6" ht="16.95" customHeight="1" x14ac:dyDescent="0.25">
      <c r="A424" s="327"/>
      <c r="B424" s="324"/>
      <c r="C424" s="322"/>
      <c r="D424" s="308" t="s">
        <v>32</v>
      </c>
      <c r="E424" s="300">
        <v>557819.36</v>
      </c>
      <c r="F424" s="297"/>
    </row>
    <row r="425" spans="1:6" ht="16.95" customHeight="1" x14ac:dyDescent="0.25">
      <c r="A425" s="328"/>
      <c r="B425" s="325"/>
      <c r="C425" s="320"/>
      <c r="D425" s="308" t="s">
        <v>18</v>
      </c>
      <c r="E425" s="300">
        <v>9522379.1099999994</v>
      </c>
      <c r="F425" s="297"/>
    </row>
    <row r="426" spans="1:6" ht="16.95" customHeight="1" x14ac:dyDescent="0.25">
      <c r="A426" s="328">
        <v>126</v>
      </c>
      <c r="B426" s="321" t="s">
        <v>94</v>
      </c>
      <c r="C426" s="330">
        <v>53</v>
      </c>
      <c r="D426" s="308" t="s">
        <v>24</v>
      </c>
      <c r="E426" s="300">
        <v>23458150.710000001</v>
      </c>
      <c r="F426" s="297"/>
    </row>
    <row r="427" spans="1:6" ht="16.95" customHeight="1" x14ac:dyDescent="0.25">
      <c r="A427" s="328"/>
      <c r="B427" s="321"/>
      <c r="C427" s="330"/>
      <c r="D427" s="308" t="s">
        <v>32</v>
      </c>
      <c r="E427" s="300">
        <v>1617803.5</v>
      </c>
      <c r="F427" s="297"/>
    </row>
    <row r="428" spans="1:6" ht="16.95" customHeight="1" x14ac:dyDescent="0.25">
      <c r="A428" s="328"/>
      <c r="B428" s="321"/>
      <c r="C428" s="330"/>
      <c r="D428" s="308" t="s">
        <v>18</v>
      </c>
      <c r="E428" s="300">
        <f>SUM(E426:E427)</f>
        <v>25075954.210000001</v>
      </c>
      <c r="F428" s="297"/>
    </row>
    <row r="429" spans="1:6" ht="16.95" customHeight="1" x14ac:dyDescent="0.25">
      <c r="A429" s="329">
        <v>127</v>
      </c>
      <c r="B429" s="321" t="s">
        <v>94</v>
      </c>
      <c r="C429" s="330">
        <v>60</v>
      </c>
      <c r="D429" s="308" t="s">
        <v>24</v>
      </c>
      <c r="E429" s="300">
        <v>11110400.130000001</v>
      </c>
      <c r="F429" s="297"/>
    </row>
    <row r="430" spans="1:6" ht="16.95" customHeight="1" x14ac:dyDescent="0.25">
      <c r="A430" s="329"/>
      <c r="B430" s="321"/>
      <c r="C430" s="330"/>
      <c r="D430" s="308" t="s">
        <v>32</v>
      </c>
      <c r="E430" s="300">
        <v>766234.49</v>
      </c>
      <c r="F430" s="297"/>
    </row>
    <row r="431" spans="1:6" ht="16.95" customHeight="1" x14ac:dyDescent="0.25">
      <c r="A431" s="329"/>
      <c r="B431" s="321"/>
      <c r="C431" s="330"/>
      <c r="D431" s="308" t="s">
        <v>18</v>
      </c>
      <c r="E431" s="300">
        <f>SUM(E429:E430)</f>
        <v>11876634.620000001</v>
      </c>
      <c r="F431" s="297"/>
    </row>
    <row r="432" spans="1:6" ht="16.95" customHeight="1" x14ac:dyDescent="0.25">
      <c r="A432" s="298">
        <v>1</v>
      </c>
      <c r="B432" s="287">
        <v>2</v>
      </c>
      <c r="C432" s="287">
        <v>3</v>
      </c>
      <c r="D432" s="298">
        <v>4</v>
      </c>
      <c r="E432" s="299">
        <v>5</v>
      </c>
      <c r="F432" s="297"/>
    </row>
    <row r="433" spans="1:6" ht="16.95" customHeight="1" x14ac:dyDescent="0.25">
      <c r="A433" s="328">
        <v>128</v>
      </c>
      <c r="B433" s="321" t="s">
        <v>94</v>
      </c>
      <c r="C433" s="330">
        <v>61</v>
      </c>
      <c r="D433" s="308" t="s">
        <v>24</v>
      </c>
      <c r="E433" s="300">
        <v>28460421.690000001</v>
      </c>
      <c r="F433" s="297"/>
    </row>
    <row r="434" spans="1:6" ht="16.95" customHeight="1" x14ac:dyDescent="0.25">
      <c r="A434" s="328"/>
      <c r="B434" s="321"/>
      <c r="C434" s="330"/>
      <c r="D434" s="308" t="s">
        <v>32</v>
      </c>
      <c r="E434" s="300">
        <v>1962787.7</v>
      </c>
      <c r="F434" s="297"/>
    </row>
    <row r="435" spans="1:6" ht="16.95" customHeight="1" x14ac:dyDescent="0.25">
      <c r="A435" s="328"/>
      <c r="B435" s="321"/>
      <c r="C435" s="330"/>
      <c r="D435" s="308" t="s">
        <v>18</v>
      </c>
      <c r="E435" s="300">
        <f>SUM(E433:E434)</f>
        <v>30423209.390000001</v>
      </c>
      <c r="F435" s="297"/>
    </row>
    <row r="436" spans="1:6" ht="16.95" customHeight="1" x14ac:dyDescent="0.25">
      <c r="A436" s="328">
        <v>129</v>
      </c>
      <c r="B436" s="321" t="s">
        <v>94</v>
      </c>
      <c r="C436" s="330" t="s">
        <v>95</v>
      </c>
      <c r="D436" s="308" t="s">
        <v>24</v>
      </c>
      <c r="E436" s="300">
        <v>22098424.039999999</v>
      </c>
      <c r="F436" s="297"/>
    </row>
    <row r="437" spans="1:6" ht="16.95" customHeight="1" x14ac:dyDescent="0.25">
      <c r="A437" s="328"/>
      <c r="B437" s="321"/>
      <c r="C437" s="330"/>
      <c r="D437" s="308" t="s">
        <v>31</v>
      </c>
      <c r="E437" s="300">
        <v>20368987.829999998</v>
      </c>
      <c r="F437" s="297"/>
    </row>
    <row r="438" spans="1:6" ht="16.95" customHeight="1" x14ac:dyDescent="0.25">
      <c r="A438" s="328"/>
      <c r="B438" s="321"/>
      <c r="C438" s="330"/>
      <c r="D438" s="308" t="s">
        <v>32</v>
      </c>
      <c r="E438" s="300">
        <v>2928787.03</v>
      </c>
      <c r="F438" s="297"/>
    </row>
    <row r="439" spans="1:6" ht="16.95" customHeight="1" x14ac:dyDescent="0.25">
      <c r="A439" s="328"/>
      <c r="B439" s="321"/>
      <c r="C439" s="330"/>
      <c r="D439" s="308" t="s">
        <v>18</v>
      </c>
      <c r="E439" s="300">
        <f>SUM(E436:E438)</f>
        <v>45396198.899999999</v>
      </c>
      <c r="F439" s="297"/>
    </row>
    <row r="440" spans="1:6" ht="16.95" customHeight="1" x14ac:dyDescent="0.25">
      <c r="A440" s="328">
        <v>130</v>
      </c>
      <c r="B440" s="321" t="s">
        <v>94</v>
      </c>
      <c r="C440" s="330">
        <v>63</v>
      </c>
      <c r="D440" s="308" t="s">
        <v>24</v>
      </c>
      <c r="E440" s="300">
        <v>30438751.719999999</v>
      </c>
      <c r="F440" s="297"/>
    </row>
    <row r="441" spans="1:6" ht="16.95" customHeight="1" x14ac:dyDescent="0.25">
      <c r="A441" s="328"/>
      <c r="B441" s="321"/>
      <c r="C441" s="330"/>
      <c r="D441" s="308" t="s">
        <v>31</v>
      </c>
      <c r="E441" s="300">
        <v>54179907.479999997</v>
      </c>
      <c r="F441" s="297"/>
    </row>
    <row r="442" spans="1:6" ht="16.95" customHeight="1" x14ac:dyDescent="0.25">
      <c r="A442" s="328"/>
      <c r="B442" s="321"/>
      <c r="C442" s="330"/>
      <c r="D442" s="308" t="s">
        <v>32</v>
      </c>
      <c r="E442" s="300">
        <v>5835769.5999999996</v>
      </c>
      <c r="F442" s="297"/>
    </row>
    <row r="443" spans="1:6" ht="16.95" customHeight="1" x14ac:dyDescent="0.25">
      <c r="A443" s="328"/>
      <c r="B443" s="321"/>
      <c r="C443" s="330"/>
      <c r="D443" s="308" t="s">
        <v>18</v>
      </c>
      <c r="E443" s="300">
        <f>SUM(E440:E442)</f>
        <v>90454428.799999982</v>
      </c>
      <c r="F443" s="297"/>
    </row>
    <row r="444" spans="1:6" ht="16.95" customHeight="1" x14ac:dyDescent="0.25">
      <c r="A444" s="328">
        <v>131</v>
      </c>
      <c r="B444" s="321" t="s">
        <v>94</v>
      </c>
      <c r="C444" s="330">
        <v>65</v>
      </c>
      <c r="D444" s="308" t="s">
        <v>24</v>
      </c>
      <c r="E444" s="300">
        <v>40927606.289999999</v>
      </c>
      <c r="F444" s="297"/>
    </row>
    <row r="445" spans="1:6" ht="16.95" customHeight="1" x14ac:dyDescent="0.25">
      <c r="A445" s="328"/>
      <c r="B445" s="321"/>
      <c r="C445" s="330"/>
      <c r="D445" s="308" t="s">
        <v>32</v>
      </c>
      <c r="E445" s="300">
        <v>2822593.54</v>
      </c>
      <c r="F445" s="297"/>
    </row>
    <row r="446" spans="1:6" ht="16.95" customHeight="1" x14ac:dyDescent="0.25">
      <c r="A446" s="328"/>
      <c r="B446" s="321"/>
      <c r="C446" s="330"/>
      <c r="D446" s="308" t="s">
        <v>18</v>
      </c>
      <c r="E446" s="300">
        <f>SUM(E444:E445)</f>
        <v>43750199.829999998</v>
      </c>
      <c r="F446" s="297"/>
    </row>
    <row r="447" spans="1:6" ht="16.95" customHeight="1" x14ac:dyDescent="0.25">
      <c r="A447" s="328">
        <v>132</v>
      </c>
      <c r="B447" s="321" t="s">
        <v>94</v>
      </c>
      <c r="C447" s="330">
        <v>67</v>
      </c>
      <c r="D447" s="308" t="s">
        <v>24</v>
      </c>
      <c r="E447" s="300">
        <v>28805117.300000001</v>
      </c>
      <c r="F447" s="297"/>
    </row>
    <row r="448" spans="1:6" ht="16.95" customHeight="1" x14ac:dyDescent="0.25">
      <c r="A448" s="328"/>
      <c r="B448" s="321"/>
      <c r="C448" s="330"/>
      <c r="D448" s="308" t="s">
        <v>31</v>
      </c>
      <c r="E448" s="300">
        <v>54587705.189999998</v>
      </c>
      <c r="F448" s="297"/>
    </row>
    <row r="449" spans="1:6" ht="16.95" customHeight="1" x14ac:dyDescent="0.25">
      <c r="A449" s="328"/>
      <c r="B449" s="321"/>
      <c r="C449" s="330"/>
      <c r="D449" s="308" t="s">
        <v>32</v>
      </c>
      <c r="E449" s="300">
        <v>1986559.81</v>
      </c>
      <c r="F449" s="297"/>
    </row>
    <row r="450" spans="1:6" ht="16.95" customHeight="1" x14ac:dyDescent="0.25">
      <c r="A450" s="328"/>
      <c r="B450" s="321"/>
      <c r="C450" s="330"/>
      <c r="D450" s="308" t="s">
        <v>18</v>
      </c>
      <c r="E450" s="300">
        <f>SUM(E447:E449)</f>
        <v>85379382.299999997</v>
      </c>
      <c r="F450" s="297"/>
    </row>
    <row r="451" spans="1:6" ht="16.95" customHeight="1" x14ac:dyDescent="0.25">
      <c r="A451" s="328">
        <v>133</v>
      </c>
      <c r="B451" s="321" t="s">
        <v>94</v>
      </c>
      <c r="C451" s="330">
        <v>74</v>
      </c>
      <c r="D451" s="308" t="s">
        <v>24</v>
      </c>
      <c r="E451" s="300">
        <v>17676758.920000002</v>
      </c>
      <c r="F451" s="297"/>
    </row>
    <row r="452" spans="1:6" ht="16.95" customHeight="1" x14ac:dyDescent="0.25">
      <c r="A452" s="328"/>
      <c r="B452" s="321"/>
      <c r="C452" s="330"/>
      <c r="D452" s="308" t="s">
        <v>31</v>
      </c>
      <c r="E452" s="300">
        <v>31464009.16</v>
      </c>
      <c r="F452" s="297"/>
    </row>
    <row r="453" spans="1:6" ht="16.95" customHeight="1" x14ac:dyDescent="0.25">
      <c r="A453" s="328"/>
      <c r="B453" s="321"/>
      <c r="C453" s="330"/>
      <c r="D453" s="308" t="s">
        <v>18</v>
      </c>
      <c r="E453" s="300">
        <f>SUM(E451:E452)</f>
        <v>49140768.079999998</v>
      </c>
      <c r="F453" s="297"/>
    </row>
    <row r="454" spans="1:6" ht="16.95" customHeight="1" x14ac:dyDescent="0.25">
      <c r="A454" s="328">
        <v>134</v>
      </c>
      <c r="B454" s="321" t="s">
        <v>94</v>
      </c>
      <c r="C454" s="330">
        <v>76</v>
      </c>
      <c r="D454" s="308" t="s">
        <v>31</v>
      </c>
      <c r="E454" s="300">
        <v>36621767.93</v>
      </c>
      <c r="F454" s="297"/>
    </row>
    <row r="455" spans="1:6" ht="16.95" customHeight="1" x14ac:dyDescent="0.25">
      <c r="A455" s="328"/>
      <c r="B455" s="321"/>
      <c r="C455" s="330"/>
      <c r="D455" s="308" t="s">
        <v>18</v>
      </c>
      <c r="E455" s="300">
        <f>E454</f>
        <v>36621767.93</v>
      </c>
      <c r="F455" s="297"/>
    </row>
    <row r="456" spans="1:6" ht="16.95" customHeight="1" x14ac:dyDescent="0.25">
      <c r="A456" s="328">
        <v>135</v>
      </c>
      <c r="B456" s="321" t="s">
        <v>94</v>
      </c>
      <c r="C456" s="330">
        <v>77</v>
      </c>
      <c r="D456" s="308" t="s">
        <v>31</v>
      </c>
      <c r="E456" s="300">
        <v>27135753.600000001</v>
      </c>
      <c r="F456" s="297"/>
    </row>
    <row r="457" spans="1:6" ht="16.95" customHeight="1" x14ac:dyDescent="0.25">
      <c r="A457" s="328"/>
      <c r="B457" s="321"/>
      <c r="C457" s="330"/>
      <c r="D457" s="308" t="s">
        <v>32</v>
      </c>
      <c r="E457" s="300">
        <v>1871431.28</v>
      </c>
      <c r="F457" s="297"/>
    </row>
    <row r="458" spans="1:6" ht="16.95" customHeight="1" x14ac:dyDescent="0.25">
      <c r="A458" s="328"/>
      <c r="B458" s="321"/>
      <c r="C458" s="330"/>
      <c r="D458" s="308" t="s">
        <v>18</v>
      </c>
      <c r="E458" s="300">
        <f>SUM(E456:E457)</f>
        <v>29007184.880000003</v>
      </c>
      <c r="F458" s="297"/>
    </row>
    <row r="459" spans="1:6" ht="16.95" customHeight="1" x14ac:dyDescent="0.25">
      <c r="A459" s="329">
        <v>136</v>
      </c>
      <c r="B459" s="321" t="s">
        <v>94</v>
      </c>
      <c r="C459" s="330">
        <v>80</v>
      </c>
      <c r="D459" s="308" t="s">
        <v>24</v>
      </c>
      <c r="E459" s="300">
        <v>29722288.239999998</v>
      </c>
      <c r="F459" s="297"/>
    </row>
    <row r="460" spans="1:6" ht="16.95" customHeight="1" x14ac:dyDescent="0.25">
      <c r="A460" s="329"/>
      <c r="B460" s="321"/>
      <c r="C460" s="330"/>
      <c r="D460" s="308" t="s">
        <v>96</v>
      </c>
      <c r="E460" s="300">
        <v>2224781.42</v>
      </c>
      <c r="F460" s="297"/>
    </row>
    <row r="461" spans="1:6" ht="16.95" customHeight="1" x14ac:dyDescent="0.25">
      <c r="A461" s="298">
        <v>1</v>
      </c>
      <c r="B461" s="287">
        <v>2</v>
      </c>
      <c r="C461" s="287">
        <v>3</v>
      </c>
      <c r="D461" s="298">
        <v>4</v>
      </c>
      <c r="E461" s="299">
        <v>5</v>
      </c>
      <c r="F461" s="297"/>
    </row>
    <row r="462" spans="1:6" ht="16.95" customHeight="1" x14ac:dyDescent="0.25">
      <c r="A462" s="327"/>
      <c r="B462" s="322"/>
      <c r="C462" s="322"/>
      <c r="D462" s="308" t="s">
        <v>31</v>
      </c>
      <c r="E462" s="300">
        <v>54101026.630000003</v>
      </c>
      <c r="F462" s="297"/>
    </row>
    <row r="463" spans="1:6" ht="16.95" customHeight="1" x14ac:dyDescent="0.25">
      <c r="A463" s="328"/>
      <c r="B463" s="320"/>
      <c r="C463" s="320"/>
      <c r="D463" s="308" t="s">
        <v>18</v>
      </c>
      <c r="E463" s="300">
        <f>SUM(E459:E462)</f>
        <v>86048101.289999992</v>
      </c>
      <c r="F463" s="297"/>
    </row>
    <row r="464" spans="1:6" ht="16.95" customHeight="1" x14ac:dyDescent="0.25">
      <c r="A464" s="329">
        <v>137</v>
      </c>
      <c r="B464" s="321" t="s">
        <v>97</v>
      </c>
      <c r="C464" s="330">
        <v>1</v>
      </c>
      <c r="D464" s="308" t="s">
        <v>22</v>
      </c>
      <c r="E464" s="282">
        <v>4754302.4800000004</v>
      </c>
      <c r="F464" s="297"/>
    </row>
    <row r="465" spans="1:6" ht="16.95" customHeight="1" x14ac:dyDescent="0.25">
      <c r="A465" s="329"/>
      <c r="B465" s="321"/>
      <c r="C465" s="330"/>
      <c r="D465" s="308" t="s">
        <v>17</v>
      </c>
      <c r="E465" s="282">
        <v>248000</v>
      </c>
      <c r="F465" s="297"/>
    </row>
    <row r="466" spans="1:6" ht="16.95" customHeight="1" x14ac:dyDescent="0.25">
      <c r="A466" s="329"/>
      <c r="B466" s="321"/>
      <c r="C466" s="330"/>
      <c r="D466" s="308" t="s">
        <v>18</v>
      </c>
      <c r="E466" s="282">
        <v>5002302.4800000004</v>
      </c>
      <c r="F466" s="297"/>
    </row>
    <row r="467" spans="1:6" ht="16.95" customHeight="1" x14ac:dyDescent="0.25">
      <c r="A467" s="329">
        <v>138</v>
      </c>
      <c r="B467" s="321" t="s">
        <v>97</v>
      </c>
      <c r="C467" s="330">
        <v>3</v>
      </c>
      <c r="D467" s="308" t="s">
        <v>22</v>
      </c>
      <c r="E467" s="282">
        <v>4754302.4800000004</v>
      </c>
      <c r="F467" s="297"/>
    </row>
    <row r="468" spans="1:6" ht="16.95" customHeight="1" x14ac:dyDescent="0.25">
      <c r="A468" s="329"/>
      <c r="B468" s="321"/>
      <c r="C468" s="330"/>
      <c r="D468" s="308" t="s">
        <v>17</v>
      </c>
      <c r="E468" s="282">
        <v>248000</v>
      </c>
      <c r="F468" s="297"/>
    </row>
    <row r="469" spans="1:6" ht="16.95" customHeight="1" x14ac:dyDescent="0.25">
      <c r="A469" s="329"/>
      <c r="B469" s="321"/>
      <c r="C469" s="330"/>
      <c r="D469" s="308" t="s">
        <v>18</v>
      </c>
      <c r="E469" s="282">
        <v>5002302.4800000004</v>
      </c>
      <c r="F469" s="297"/>
    </row>
    <row r="470" spans="1:6" ht="16.95" customHeight="1" x14ac:dyDescent="0.25">
      <c r="A470" s="329">
        <v>139</v>
      </c>
      <c r="B470" s="321" t="s">
        <v>97</v>
      </c>
      <c r="C470" s="330">
        <v>21</v>
      </c>
      <c r="D470" s="308" t="s">
        <v>22</v>
      </c>
      <c r="E470" s="282">
        <v>2377151.2400000002</v>
      </c>
      <c r="F470" s="297"/>
    </row>
    <row r="471" spans="1:6" ht="16.95" customHeight="1" x14ac:dyDescent="0.25">
      <c r="A471" s="329"/>
      <c r="B471" s="321"/>
      <c r="C471" s="330"/>
      <c r="D471" s="308" t="s">
        <v>17</v>
      </c>
      <c r="E471" s="282">
        <v>124000</v>
      </c>
      <c r="F471" s="297"/>
    </row>
    <row r="472" spans="1:6" ht="16.95" customHeight="1" x14ac:dyDescent="0.25">
      <c r="A472" s="329"/>
      <c r="B472" s="321"/>
      <c r="C472" s="330"/>
      <c r="D472" s="308" t="s">
        <v>18</v>
      </c>
      <c r="E472" s="282">
        <v>2501151.2400000002</v>
      </c>
      <c r="F472" s="297"/>
    </row>
    <row r="473" spans="1:6" ht="16.95" customHeight="1" x14ac:dyDescent="0.25">
      <c r="A473" s="329">
        <v>140</v>
      </c>
      <c r="B473" s="323" t="s">
        <v>98</v>
      </c>
      <c r="C473" s="319">
        <v>14</v>
      </c>
      <c r="D473" s="308" t="s">
        <v>16</v>
      </c>
      <c r="E473" s="300">
        <v>3702831.57</v>
      </c>
      <c r="F473" s="297"/>
    </row>
    <row r="474" spans="1:6" ht="16.95" customHeight="1" x14ac:dyDescent="0.25">
      <c r="A474" s="329"/>
      <c r="B474" s="324"/>
      <c r="C474" s="322"/>
      <c r="D474" s="308" t="s">
        <v>17</v>
      </c>
      <c r="E474" s="300">
        <v>151890.07999999999</v>
      </c>
      <c r="F474" s="297"/>
    </row>
    <row r="475" spans="1:6" ht="16.95" customHeight="1" x14ac:dyDescent="0.25">
      <c r="A475" s="329"/>
      <c r="B475" s="325"/>
      <c r="C475" s="320"/>
      <c r="D475" s="308" t="s">
        <v>18</v>
      </c>
      <c r="E475" s="300">
        <v>3854721.65</v>
      </c>
      <c r="F475" s="297"/>
    </row>
    <row r="476" spans="1:6" ht="16.95" customHeight="1" x14ac:dyDescent="0.25">
      <c r="A476" s="329">
        <v>141</v>
      </c>
      <c r="B476" s="323" t="s">
        <v>98</v>
      </c>
      <c r="C476" s="319">
        <v>15</v>
      </c>
      <c r="D476" s="308" t="s">
        <v>16</v>
      </c>
      <c r="E476" s="300">
        <v>3702831.57</v>
      </c>
      <c r="F476" s="297"/>
    </row>
    <row r="477" spans="1:6" ht="16.95" customHeight="1" x14ac:dyDescent="0.25">
      <c r="A477" s="329"/>
      <c r="B477" s="324"/>
      <c r="C477" s="322"/>
      <c r="D477" s="308" t="s">
        <v>17</v>
      </c>
      <c r="E477" s="300">
        <v>151890.07999999999</v>
      </c>
      <c r="F477" s="297"/>
    </row>
    <row r="478" spans="1:6" ht="16.95" customHeight="1" x14ac:dyDescent="0.25">
      <c r="A478" s="329"/>
      <c r="B478" s="325"/>
      <c r="C478" s="320"/>
      <c r="D478" s="308" t="s">
        <v>18</v>
      </c>
      <c r="E478" s="300">
        <v>3854721.65</v>
      </c>
      <c r="F478" s="297"/>
    </row>
    <row r="479" spans="1:6" ht="16.95" customHeight="1" x14ac:dyDescent="0.25">
      <c r="A479" s="329">
        <v>142</v>
      </c>
      <c r="B479" s="323" t="s">
        <v>98</v>
      </c>
      <c r="C479" s="319">
        <v>16</v>
      </c>
      <c r="D479" s="308" t="s">
        <v>16</v>
      </c>
      <c r="E479" s="300">
        <v>3702831.57</v>
      </c>
      <c r="F479" s="297"/>
    </row>
    <row r="480" spans="1:6" ht="16.95" customHeight="1" x14ac:dyDescent="0.25">
      <c r="A480" s="329"/>
      <c r="B480" s="324"/>
      <c r="C480" s="322"/>
      <c r="D480" s="308" t="s">
        <v>17</v>
      </c>
      <c r="E480" s="300">
        <v>151890.07999999999</v>
      </c>
      <c r="F480" s="297"/>
    </row>
    <row r="481" spans="1:6" ht="16.95" customHeight="1" x14ac:dyDescent="0.25">
      <c r="A481" s="329"/>
      <c r="B481" s="325"/>
      <c r="C481" s="320"/>
      <c r="D481" s="308" t="s">
        <v>18</v>
      </c>
      <c r="E481" s="300">
        <v>3854721.65</v>
      </c>
      <c r="F481" s="297"/>
    </row>
    <row r="482" spans="1:6" ht="16.95" customHeight="1" x14ac:dyDescent="0.25">
      <c r="A482" s="329">
        <v>143</v>
      </c>
      <c r="B482" s="321" t="s">
        <v>99</v>
      </c>
      <c r="C482" s="330">
        <v>9</v>
      </c>
      <c r="D482" s="308" t="s">
        <v>24</v>
      </c>
      <c r="E482" s="300">
        <v>8644232.1899999995</v>
      </c>
      <c r="F482" s="297"/>
    </row>
    <row r="483" spans="1:6" ht="16.95" customHeight="1" x14ac:dyDescent="0.25">
      <c r="A483" s="329"/>
      <c r="B483" s="321"/>
      <c r="C483" s="330"/>
      <c r="D483" s="308" t="s">
        <v>32</v>
      </c>
      <c r="E483" s="300">
        <v>506206.99</v>
      </c>
      <c r="F483" s="297"/>
    </row>
    <row r="484" spans="1:6" ht="16.95" customHeight="1" x14ac:dyDescent="0.25">
      <c r="A484" s="329"/>
      <c r="B484" s="321"/>
      <c r="C484" s="330"/>
      <c r="D484" s="308" t="s">
        <v>18</v>
      </c>
      <c r="E484" s="300">
        <v>9150439.1799999997</v>
      </c>
      <c r="F484" s="297"/>
    </row>
    <row r="485" spans="1:6" ht="16.95" customHeight="1" x14ac:dyDescent="0.25">
      <c r="A485" s="329">
        <v>144</v>
      </c>
      <c r="B485" s="321" t="s">
        <v>99</v>
      </c>
      <c r="C485" s="330">
        <v>22</v>
      </c>
      <c r="D485" s="308" t="s">
        <v>26</v>
      </c>
      <c r="E485" s="300">
        <v>581959.39</v>
      </c>
      <c r="F485" s="297"/>
    </row>
    <row r="486" spans="1:6" ht="16.95" customHeight="1" x14ac:dyDescent="0.25">
      <c r="A486" s="329"/>
      <c r="B486" s="321"/>
      <c r="C486" s="330"/>
      <c r="D486" s="308" t="s">
        <v>27</v>
      </c>
      <c r="E486" s="300">
        <v>2770315.54</v>
      </c>
      <c r="F486" s="297"/>
    </row>
    <row r="487" spans="1:6" ht="16.95" customHeight="1" x14ac:dyDescent="0.25">
      <c r="A487" s="329"/>
      <c r="B487" s="321"/>
      <c r="C487" s="330"/>
      <c r="D487" s="308" t="s">
        <v>28</v>
      </c>
      <c r="E487" s="300">
        <v>565282.06000000006</v>
      </c>
      <c r="F487" s="297"/>
    </row>
    <row r="488" spans="1:6" ht="16.95" customHeight="1" x14ac:dyDescent="0.25">
      <c r="A488" s="329"/>
      <c r="B488" s="321"/>
      <c r="C488" s="330"/>
      <c r="D488" s="308" t="s">
        <v>29</v>
      </c>
      <c r="E488" s="300">
        <v>622651.68999999994</v>
      </c>
      <c r="F488" s="297"/>
    </row>
    <row r="489" spans="1:6" ht="16.95" customHeight="1" x14ac:dyDescent="0.25">
      <c r="A489" s="329"/>
      <c r="B489" s="321"/>
      <c r="C489" s="330"/>
      <c r="D489" s="308" t="s">
        <v>30</v>
      </c>
      <c r="E489" s="300">
        <v>959257.94</v>
      </c>
      <c r="F489" s="297"/>
    </row>
    <row r="490" spans="1:6" ht="16.95" customHeight="1" x14ac:dyDescent="0.25">
      <c r="A490" s="298">
        <v>1</v>
      </c>
      <c r="B490" s="287">
        <v>2</v>
      </c>
      <c r="C490" s="287">
        <v>3</v>
      </c>
      <c r="D490" s="298">
        <v>4</v>
      </c>
      <c r="E490" s="299">
        <v>5</v>
      </c>
      <c r="F490" s="297"/>
    </row>
    <row r="491" spans="1:6" ht="16.95" customHeight="1" x14ac:dyDescent="0.25">
      <c r="A491" s="327"/>
      <c r="B491" s="322"/>
      <c r="C491" s="322"/>
      <c r="D491" s="308" t="s">
        <v>24</v>
      </c>
      <c r="E491" s="300">
        <v>8164250.3700000001</v>
      </c>
      <c r="F491" s="297"/>
    </row>
    <row r="492" spans="1:6" ht="16.95" customHeight="1" x14ac:dyDescent="0.25">
      <c r="A492" s="327"/>
      <c r="B492" s="322"/>
      <c r="C492" s="322"/>
      <c r="D492" s="308" t="s">
        <v>32</v>
      </c>
      <c r="E492" s="300">
        <v>1373652.8</v>
      </c>
      <c r="F492" s="297"/>
    </row>
    <row r="493" spans="1:6" ht="16.95" customHeight="1" x14ac:dyDescent="0.25">
      <c r="A493" s="328"/>
      <c r="B493" s="320"/>
      <c r="C493" s="320"/>
      <c r="D493" s="308" t="s">
        <v>18</v>
      </c>
      <c r="E493" s="300">
        <v>15037369.789999999</v>
      </c>
      <c r="F493" s="297"/>
    </row>
    <row r="494" spans="1:6" ht="16.95" customHeight="1" x14ac:dyDescent="0.25">
      <c r="A494" s="329">
        <v>145</v>
      </c>
      <c r="B494" s="321" t="s">
        <v>99</v>
      </c>
      <c r="C494" s="330">
        <v>26</v>
      </c>
      <c r="D494" s="308" t="s">
        <v>24</v>
      </c>
      <c r="E494" s="300">
        <v>7204815.2199999997</v>
      </c>
      <c r="F494" s="297"/>
    </row>
    <row r="495" spans="1:6" ht="16.95" customHeight="1" x14ac:dyDescent="0.25">
      <c r="A495" s="329"/>
      <c r="B495" s="321"/>
      <c r="C495" s="330"/>
      <c r="D495" s="308" t="s">
        <v>32</v>
      </c>
      <c r="E495" s="300">
        <v>368408.7</v>
      </c>
      <c r="F495" s="297"/>
    </row>
    <row r="496" spans="1:6" ht="16.95" customHeight="1" x14ac:dyDescent="0.25">
      <c r="A496" s="329"/>
      <c r="B496" s="321"/>
      <c r="C496" s="330"/>
      <c r="D496" s="308" t="s">
        <v>18</v>
      </c>
      <c r="E496" s="300">
        <v>7573223.9199999999</v>
      </c>
      <c r="F496" s="297"/>
    </row>
    <row r="497" spans="1:6" ht="16.95" customHeight="1" x14ac:dyDescent="0.25">
      <c r="A497" s="329">
        <v>146</v>
      </c>
      <c r="B497" s="321" t="s">
        <v>99</v>
      </c>
      <c r="C497" s="330">
        <v>32</v>
      </c>
      <c r="D497" s="308" t="s">
        <v>24</v>
      </c>
      <c r="E497" s="300">
        <v>3263881.88</v>
      </c>
      <c r="F497" s="297"/>
    </row>
    <row r="498" spans="1:6" ht="16.95" customHeight="1" x14ac:dyDescent="0.25">
      <c r="A498" s="329"/>
      <c r="B498" s="321"/>
      <c r="C498" s="330"/>
      <c r="D498" s="308" t="s">
        <v>32</v>
      </c>
      <c r="E498" s="300">
        <v>192938.83</v>
      </c>
      <c r="F498" s="297"/>
    </row>
    <row r="499" spans="1:6" ht="16.95" customHeight="1" x14ac:dyDescent="0.25">
      <c r="A499" s="329"/>
      <c r="B499" s="321"/>
      <c r="C499" s="330"/>
      <c r="D499" s="308" t="s">
        <v>18</v>
      </c>
      <c r="E499" s="300">
        <v>3456820.71</v>
      </c>
      <c r="F499" s="297"/>
    </row>
    <row r="500" spans="1:6" ht="16.95" customHeight="1" x14ac:dyDescent="0.25">
      <c r="A500" s="329">
        <v>147</v>
      </c>
      <c r="B500" s="321" t="s">
        <v>99</v>
      </c>
      <c r="C500" s="330">
        <v>36</v>
      </c>
      <c r="D500" s="308" t="s">
        <v>24</v>
      </c>
      <c r="E500" s="300">
        <v>9684612.0199999996</v>
      </c>
      <c r="F500" s="297"/>
    </row>
    <row r="501" spans="1:6" ht="16.95" customHeight="1" x14ac:dyDescent="0.25">
      <c r="A501" s="329"/>
      <c r="B501" s="321"/>
      <c r="C501" s="330"/>
      <c r="D501" s="308" t="s">
        <v>32</v>
      </c>
      <c r="E501" s="300">
        <v>503531.44</v>
      </c>
      <c r="F501" s="297"/>
    </row>
    <row r="502" spans="1:6" ht="16.95" customHeight="1" x14ac:dyDescent="0.25">
      <c r="A502" s="329"/>
      <c r="B502" s="321"/>
      <c r="C502" s="330"/>
      <c r="D502" s="308" t="s">
        <v>18</v>
      </c>
      <c r="E502" s="300">
        <v>10188143.460000001</v>
      </c>
      <c r="F502" s="297"/>
    </row>
    <row r="503" spans="1:6" ht="16.95" customHeight="1" x14ac:dyDescent="0.25">
      <c r="A503" s="326">
        <v>148</v>
      </c>
      <c r="B503" s="323" t="s">
        <v>100</v>
      </c>
      <c r="C503" s="319" t="s">
        <v>101</v>
      </c>
      <c r="D503" s="308" t="s">
        <v>96</v>
      </c>
      <c r="E503" s="300">
        <v>3650877.41</v>
      </c>
      <c r="F503" s="297"/>
    </row>
    <row r="504" spans="1:6" ht="16.95" customHeight="1" x14ac:dyDescent="0.25">
      <c r="A504" s="327"/>
      <c r="B504" s="324"/>
      <c r="C504" s="322"/>
      <c r="D504" s="308" t="s">
        <v>31</v>
      </c>
      <c r="E504" s="300">
        <v>15149490.16</v>
      </c>
      <c r="F504" s="297"/>
    </row>
    <row r="505" spans="1:6" ht="16.95" customHeight="1" x14ac:dyDescent="0.25">
      <c r="A505" s="327"/>
      <c r="B505" s="324"/>
      <c r="C505" s="322"/>
      <c r="D505" s="308" t="s">
        <v>33</v>
      </c>
      <c r="E505" s="300">
        <v>5425923.4199999999</v>
      </c>
      <c r="F505" s="297"/>
    </row>
    <row r="506" spans="1:6" ht="16.95" customHeight="1" x14ac:dyDescent="0.25">
      <c r="A506" s="327"/>
      <c r="B506" s="324"/>
      <c r="C506" s="322"/>
      <c r="D506" s="308" t="s">
        <v>17</v>
      </c>
      <c r="E506" s="300">
        <v>635639.35</v>
      </c>
      <c r="F506" s="297"/>
    </row>
    <row r="507" spans="1:6" ht="16.95" customHeight="1" x14ac:dyDescent="0.25">
      <c r="A507" s="328"/>
      <c r="B507" s="325"/>
      <c r="C507" s="320"/>
      <c r="D507" s="308" t="s">
        <v>18</v>
      </c>
      <c r="E507" s="300">
        <v>24861930.34</v>
      </c>
      <c r="F507" s="297"/>
    </row>
    <row r="508" spans="1:6" ht="16.95" customHeight="1" x14ac:dyDescent="0.25">
      <c r="A508" s="326">
        <v>149</v>
      </c>
      <c r="B508" s="323" t="s">
        <v>100</v>
      </c>
      <c r="C508" s="319" t="s">
        <v>102</v>
      </c>
      <c r="D508" s="308" t="s">
        <v>24</v>
      </c>
      <c r="E508" s="300">
        <v>23037236.949999999</v>
      </c>
      <c r="F508" s="297"/>
    </row>
    <row r="509" spans="1:6" ht="16.95" customHeight="1" x14ac:dyDescent="0.25">
      <c r="A509" s="327"/>
      <c r="B509" s="324"/>
      <c r="C509" s="322"/>
      <c r="D509" s="308" t="s">
        <v>96</v>
      </c>
      <c r="E509" s="300">
        <v>5003769.34</v>
      </c>
      <c r="F509" s="297"/>
    </row>
    <row r="510" spans="1:6" ht="16.95" customHeight="1" x14ac:dyDescent="0.25">
      <c r="A510" s="327"/>
      <c r="B510" s="324"/>
      <c r="C510" s="322"/>
      <c r="D510" s="308" t="s">
        <v>31</v>
      </c>
      <c r="E510" s="306">
        <v>20763379.859999999</v>
      </c>
      <c r="F510" s="297"/>
    </row>
    <row r="511" spans="1:6" ht="16.95" customHeight="1" x14ac:dyDescent="0.25">
      <c r="A511" s="327"/>
      <c r="B511" s="324"/>
      <c r="C511" s="322"/>
      <c r="D511" s="310" t="s">
        <v>33</v>
      </c>
      <c r="E511" s="305">
        <v>7436587.5</v>
      </c>
      <c r="F511" s="297"/>
    </row>
    <row r="512" spans="1:6" ht="16.95" customHeight="1" x14ac:dyDescent="0.25">
      <c r="A512" s="327"/>
      <c r="B512" s="324"/>
      <c r="C512" s="322"/>
      <c r="D512" s="308" t="s">
        <v>17</v>
      </c>
      <c r="E512" s="300">
        <v>2062874.75</v>
      </c>
      <c r="F512" s="297"/>
    </row>
    <row r="513" spans="1:6" ht="16.95" customHeight="1" x14ac:dyDescent="0.25">
      <c r="A513" s="328"/>
      <c r="B513" s="325"/>
      <c r="C513" s="320"/>
      <c r="D513" s="308" t="s">
        <v>18</v>
      </c>
      <c r="E513" s="300">
        <v>58303848.399999999</v>
      </c>
      <c r="F513" s="297"/>
    </row>
    <row r="514" spans="1:6" ht="16.95" customHeight="1" x14ac:dyDescent="0.25">
      <c r="A514" s="326">
        <v>150</v>
      </c>
      <c r="B514" s="323" t="s">
        <v>103</v>
      </c>
      <c r="C514" s="319" t="s">
        <v>104</v>
      </c>
      <c r="D514" s="308" t="s">
        <v>22</v>
      </c>
      <c r="E514" s="282">
        <v>2377151.2400000002</v>
      </c>
      <c r="F514" s="297"/>
    </row>
    <row r="515" spans="1:6" ht="16.95" customHeight="1" x14ac:dyDescent="0.25">
      <c r="A515" s="327"/>
      <c r="B515" s="324"/>
      <c r="C515" s="322"/>
      <c r="D515" s="308" t="s">
        <v>17</v>
      </c>
      <c r="E515" s="282">
        <v>124000</v>
      </c>
      <c r="F515" s="297"/>
    </row>
    <row r="516" spans="1:6" ht="16.95" customHeight="1" x14ac:dyDescent="0.25">
      <c r="A516" s="328"/>
      <c r="B516" s="325"/>
      <c r="C516" s="320"/>
      <c r="D516" s="308" t="s">
        <v>18</v>
      </c>
      <c r="E516" s="282">
        <v>2501151.2400000002</v>
      </c>
      <c r="F516" s="297"/>
    </row>
    <row r="517" spans="1:6" ht="16.95" customHeight="1" x14ac:dyDescent="0.25">
      <c r="A517" s="329">
        <v>151</v>
      </c>
      <c r="B517" s="338" t="s">
        <v>105</v>
      </c>
      <c r="C517" s="339">
        <v>7</v>
      </c>
      <c r="D517" s="308" t="s">
        <v>24</v>
      </c>
      <c r="E517" s="300">
        <v>13641914.42</v>
      </c>
      <c r="F517" s="297"/>
    </row>
    <row r="518" spans="1:6" ht="16.95" customHeight="1" x14ac:dyDescent="0.25">
      <c r="A518" s="329"/>
      <c r="B518" s="338"/>
      <c r="C518" s="339"/>
      <c r="D518" s="308" t="s">
        <v>32</v>
      </c>
      <c r="E518" s="300">
        <v>329793.06</v>
      </c>
      <c r="F518" s="297"/>
    </row>
    <row r="519" spans="1:6" ht="16.95" customHeight="1" x14ac:dyDescent="0.25">
      <c r="A519" s="298">
        <v>1</v>
      </c>
      <c r="B519" s="287">
        <v>2</v>
      </c>
      <c r="C519" s="287">
        <v>3</v>
      </c>
      <c r="D519" s="298">
        <v>4</v>
      </c>
      <c r="E519" s="299">
        <v>5</v>
      </c>
      <c r="F519" s="297"/>
    </row>
    <row r="520" spans="1:6" ht="16.95" customHeight="1" x14ac:dyDescent="0.25">
      <c r="A520" s="301"/>
      <c r="B520" s="312"/>
      <c r="C520" s="312"/>
      <c r="D520" s="308" t="s">
        <v>18</v>
      </c>
      <c r="E520" s="300">
        <v>13971707.48</v>
      </c>
      <c r="F520" s="297"/>
    </row>
    <row r="521" spans="1:6" ht="16.95" customHeight="1" x14ac:dyDescent="0.25">
      <c r="A521" s="329">
        <v>152</v>
      </c>
      <c r="B521" s="321" t="s">
        <v>106</v>
      </c>
      <c r="C521" s="330">
        <v>4</v>
      </c>
      <c r="D521" s="308" t="s">
        <v>24</v>
      </c>
      <c r="E521" s="300">
        <v>5336071.21</v>
      </c>
      <c r="F521" s="297"/>
    </row>
    <row r="522" spans="1:6" ht="16.95" customHeight="1" x14ac:dyDescent="0.25">
      <c r="A522" s="329"/>
      <c r="B522" s="321"/>
      <c r="C522" s="330"/>
      <c r="D522" s="308" t="s">
        <v>32</v>
      </c>
      <c r="E522" s="300">
        <v>74705</v>
      </c>
      <c r="F522" s="297"/>
    </row>
    <row r="523" spans="1:6" ht="16.95" customHeight="1" x14ac:dyDescent="0.25">
      <c r="A523" s="329"/>
      <c r="B523" s="321"/>
      <c r="C523" s="330"/>
      <c r="D523" s="308" t="s">
        <v>18</v>
      </c>
      <c r="E523" s="300">
        <v>5410776.21</v>
      </c>
      <c r="F523" s="297"/>
    </row>
    <row r="524" spans="1:6" ht="16.95" customHeight="1" x14ac:dyDescent="0.25">
      <c r="A524" s="326">
        <v>153</v>
      </c>
      <c r="B524" s="323" t="s">
        <v>106</v>
      </c>
      <c r="C524" s="319">
        <v>8</v>
      </c>
      <c r="D524" s="308" t="s">
        <v>24</v>
      </c>
      <c r="E524" s="300">
        <v>9846462.4800000004</v>
      </c>
      <c r="F524" s="297"/>
    </row>
    <row r="525" spans="1:6" ht="16.95" customHeight="1" x14ac:dyDescent="0.25">
      <c r="A525" s="327"/>
      <c r="B525" s="324"/>
      <c r="C525" s="322"/>
      <c r="D525" s="308" t="s">
        <v>32</v>
      </c>
      <c r="E525" s="300">
        <v>321553.62</v>
      </c>
      <c r="F525" s="297"/>
    </row>
    <row r="526" spans="1:6" ht="16.95" customHeight="1" x14ac:dyDescent="0.25">
      <c r="A526" s="328"/>
      <c r="B526" s="325"/>
      <c r="C526" s="320"/>
      <c r="D526" s="308" t="s">
        <v>18</v>
      </c>
      <c r="E526" s="300">
        <v>10168016.1</v>
      </c>
      <c r="F526" s="297"/>
    </row>
    <row r="527" spans="1:6" ht="16.95" customHeight="1" x14ac:dyDescent="0.25">
      <c r="A527" s="329">
        <v>154</v>
      </c>
      <c r="B527" s="321" t="s">
        <v>107</v>
      </c>
      <c r="C527" s="330" t="s">
        <v>108</v>
      </c>
      <c r="D527" s="308" t="s">
        <v>24</v>
      </c>
      <c r="E527" s="300">
        <v>6857764.7199999997</v>
      </c>
      <c r="F527" s="297"/>
    </row>
    <row r="528" spans="1:6" ht="16.95" customHeight="1" x14ac:dyDescent="0.25">
      <c r="A528" s="329"/>
      <c r="B528" s="321"/>
      <c r="C528" s="330"/>
      <c r="D528" s="308" t="s">
        <v>32</v>
      </c>
      <c r="E528" s="300">
        <v>405385.11</v>
      </c>
      <c r="F528" s="297"/>
    </row>
    <row r="529" spans="1:6" ht="16.95" customHeight="1" x14ac:dyDescent="0.25">
      <c r="A529" s="329"/>
      <c r="B529" s="321"/>
      <c r="C529" s="330"/>
      <c r="D529" s="308" t="s">
        <v>18</v>
      </c>
      <c r="E529" s="300">
        <v>7263149.8300000001</v>
      </c>
      <c r="F529" s="297"/>
    </row>
    <row r="530" spans="1:6" ht="16.95" customHeight="1" x14ac:dyDescent="0.25">
      <c r="A530" s="326">
        <v>155</v>
      </c>
      <c r="B530" s="337" t="s">
        <v>868</v>
      </c>
      <c r="C530" s="330">
        <v>3</v>
      </c>
      <c r="D530" s="308" t="s">
        <v>59</v>
      </c>
      <c r="E530" s="300">
        <v>1215410.51</v>
      </c>
      <c r="F530" s="297"/>
    </row>
    <row r="531" spans="1:6" ht="16.95" customHeight="1" x14ac:dyDescent="0.25">
      <c r="A531" s="327"/>
      <c r="B531" s="321"/>
      <c r="C531" s="330"/>
      <c r="D531" s="308" t="s">
        <v>32</v>
      </c>
      <c r="E531" s="300">
        <v>224000</v>
      </c>
      <c r="F531" s="297"/>
    </row>
    <row r="532" spans="1:6" ht="16.95" customHeight="1" x14ac:dyDescent="0.25">
      <c r="A532" s="328"/>
      <c r="B532" s="321"/>
      <c r="C532" s="330"/>
      <c r="D532" s="308" t="s">
        <v>18</v>
      </c>
      <c r="E532" s="300">
        <v>1439410.51</v>
      </c>
      <c r="F532" s="297"/>
    </row>
    <row r="533" spans="1:6" ht="16.95" customHeight="1" x14ac:dyDescent="0.25">
      <c r="A533" s="329">
        <v>156</v>
      </c>
      <c r="B533" s="321" t="s">
        <v>110</v>
      </c>
      <c r="C533" s="330" t="s">
        <v>111</v>
      </c>
      <c r="D533" s="308" t="s">
        <v>16</v>
      </c>
      <c r="E533" s="300">
        <v>3702831.57</v>
      </c>
      <c r="F533" s="297"/>
    </row>
    <row r="534" spans="1:6" ht="16.95" customHeight="1" x14ac:dyDescent="0.25">
      <c r="A534" s="329"/>
      <c r="B534" s="321"/>
      <c r="C534" s="330"/>
      <c r="D534" s="308" t="s">
        <v>17</v>
      </c>
      <c r="E534" s="300">
        <v>151890.07999999999</v>
      </c>
      <c r="F534" s="297"/>
    </row>
    <row r="535" spans="1:6" ht="16.95" customHeight="1" x14ac:dyDescent="0.25">
      <c r="A535" s="329"/>
      <c r="B535" s="321"/>
      <c r="C535" s="330"/>
      <c r="D535" s="308" t="s">
        <v>18</v>
      </c>
      <c r="E535" s="300">
        <v>3854721.65</v>
      </c>
      <c r="F535" s="297"/>
    </row>
    <row r="536" spans="1:6" ht="16.95" customHeight="1" x14ac:dyDescent="0.25">
      <c r="A536" s="326">
        <v>157</v>
      </c>
      <c r="B536" s="337" t="s">
        <v>868</v>
      </c>
      <c r="C536" s="330">
        <v>30</v>
      </c>
      <c r="D536" s="308" t="s">
        <v>59</v>
      </c>
      <c r="E536" s="300">
        <v>1215410.51</v>
      </c>
      <c r="F536" s="297"/>
    </row>
    <row r="537" spans="1:6" ht="16.95" customHeight="1" x14ac:dyDescent="0.25">
      <c r="A537" s="327"/>
      <c r="B537" s="321"/>
      <c r="C537" s="330"/>
      <c r="D537" s="308" t="s">
        <v>32</v>
      </c>
      <c r="E537" s="300">
        <v>224000</v>
      </c>
      <c r="F537" s="297"/>
    </row>
    <row r="538" spans="1:6" ht="16.95" customHeight="1" x14ac:dyDescent="0.25">
      <c r="A538" s="328"/>
      <c r="B538" s="321"/>
      <c r="C538" s="330"/>
      <c r="D538" s="308" t="s">
        <v>18</v>
      </c>
      <c r="E538" s="300">
        <v>1439410.51</v>
      </c>
      <c r="F538" s="297"/>
    </row>
    <row r="539" spans="1:6" ht="16.95" customHeight="1" x14ac:dyDescent="0.25">
      <c r="A539" s="326">
        <v>158</v>
      </c>
      <c r="B539" s="333" t="s">
        <v>868</v>
      </c>
      <c r="C539" s="319" t="s">
        <v>862</v>
      </c>
      <c r="D539" s="308" t="s">
        <v>59</v>
      </c>
      <c r="E539" s="300">
        <v>1215410.51</v>
      </c>
      <c r="F539" s="297"/>
    </row>
    <row r="540" spans="1:6" ht="16.95" customHeight="1" x14ac:dyDescent="0.25">
      <c r="A540" s="327"/>
      <c r="B540" s="324"/>
      <c r="C540" s="322"/>
      <c r="D540" s="308" t="s">
        <v>32</v>
      </c>
      <c r="E540" s="300">
        <v>224000</v>
      </c>
      <c r="F540" s="297"/>
    </row>
    <row r="541" spans="1:6" ht="16.95" customHeight="1" x14ac:dyDescent="0.25">
      <c r="A541" s="328"/>
      <c r="B541" s="325"/>
      <c r="C541" s="320"/>
      <c r="D541" s="308" t="s">
        <v>18</v>
      </c>
      <c r="E541" s="300">
        <v>1439410.51</v>
      </c>
      <c r="F541" s="297"/>
    </row>
    <row r="542" spans="1:6" ht="16.95" customHeight="1" x14ac:dyDescent="0.25">
      <c r="A542" s="326">
        <v>159</v>
      </c>
      <c r="B542" s="323" t="s">
        <v>110</v>
      </c>
      <c r="C542" s="319" t="s">
        <v>113</v>
      </c>
      <c r="D542" s="308" t="s">
        <v>16</v>
      </c>
      <c r="E542" s="300">
        <v>1851415.78</v>
      </c>
      <c r="F542" s="297"/>
    </row>
    <row r="543" spans="1:6" ht="16.95" customHeight="1" x14ac:dyDescent="0.25">
      <c r="A543" s="327"/>
      <c r="B543" s="324"/>
      <c r="C543" s="322"/>
      <c r="D543" s="308" t="s">
        <v>17</v>
      </c>
      <c r="E543" s="300">
        <v>75945.039999999994</v>
      </c>
      <c r="F543" s="297"/>
    </row>
    <row r="544" spans="1:6" ht="16.95" customHeight="1" x14ac:dyDescent="0.25">
      <c r="A544" s="328"/>
      <c r="B544" s="325"/>
      <c r="C544" s="320"/>
      <c r="D544" s="308" t="s">
        <v>18</v>
      </c>
      <c r="E544" s="300">
        <v>1927360.82</v>
      </c>
      <c r="F544" s="297"/>
    </row>
    <row r="545" spans="1:6" ht="16.95" customHeight="1" x14ac:dyDescent="0.25">
      <c r="A545" s="326">
        <v>160</v>
      </c>
      <c r="B545" s="323" t="s">
        <v>110</v>
      </c>
      <c r="C545" s="319" t="s">
        <v>114</v>
      </c>
      <c r="D545" s="308" t="s">
        <v>16</v>
      </c>
      <c r="E545" s="300">
        <v>3702831.57</v>
      </c>
      <c r="F545" s="297"/>
    </row>
    <row r="546" spans="1:6" ht="16.95" customHeight="1" x14ac:dyDescent="0.25">
      <c r="A546" s="327"/>
      <c r="B546" s="324"/>
      <c r="C546" s="322"/>
      <c r="D546" s="308" t="s">
        <v>17</v>
      </c>
      <c r="E546" s="300">
        <v>151890.07999999999</v>
      </c>
      <c r="F546" s="297"/>
    </row>
    <row r="547" spans="1:6" ht="16.95" customHeight="1" x14ac:dyDescent="0.25">
      <c r="A547" s="328"/>
      <c r="B547" s="325"/>
      <c r="C547" s="320"/>
      <c r="D547" s="308" t="s">
        <v>18</v>
      </c>
      <c r="E547" s="300">
        <v>3854721.65</v>
      </c>
      <c r="F547" s="297"/>
    </row>
    <row r="548" spans="1:6" ht="16.95" customHeight="1" x14ac:dyDescent="0.25">
      <c r="A548" s="298">
        <v>1</v>
      </c>
      <c r="B548" s="287">
        <v>2</v>
      </c>
      <c r="C548" s="287">
        <v>3</v>
      </c>
      <c r="D548" s="298">
        <v>4</v>
      </c>
      <c r="E548" s="299">
        <v>5</v>
      </c>
      <c r="F548" s="297"/>
    </row>
    <row r="549" spans="1:6" ht="16.95" customHeight="1" x14ac:dyDescent="0.25">
      <c r="A549" s="326">
        <v>161</v>
      </c>
      <c r="B549" s="321" t="s">
        <v>115</v>
      </c>
      <c r="C549" s="330">
        <v>8</v>
      </c>
      <c r="D549" s="308" t="s">
        <v>24</v>
      </c>
      <c r="E549" s="300">
        <v>41063600.619999997</v>
      </c>
      <c r="F549" s="297"/>
    </row>
    <row r="550" spans="1:6" ht="16.95" customHeight="1" x14ac:dyDescent="0.25">
      <c r="A550" s="327"/>
      <c r="B550" s="321"/>
      <c r="C550" s="330"/>
      <c r="D550" s="308" t="s">
        <v>32</v>
      </c>
      <c r="E550" s="300">
        <v>2427404.96</v>
      </c>
      <c r="F550" s="297"/>
    </row>
    <row r="551" spans="1:6" ht="16.95" customHeight="1" x14ac:dyDescent="0.25">
      <c r="A551" s="328"/>
      <c r="B551" s="321"/>
      <c r="C551" s="330"/>
      <c r="D551" s="308" t="s">
        <v>18</v>
      </c>
      <c r="E551" s="300">
        <v>43491005.579999998</v>
      </c>
      <c r="F551" s="297"/>
    </row>
    <row r="552" spans="1:6" ht="31.8" customHeight="1" x14ac:dyDescent="0.25">
      <c r="A552" s="329">
        <v>162</v>
      </c>
      <c r="B552" s="321" t="s">
        <v>117</v>
      </c>
      <c r="C552" s="330">
        <v>26</v>
      </c>
      <c r="D552" s="308" t="s">
        <v>861</v>
      </c>
      <c r="E552" s="300">
        <v>18732841.800000001</v>
      </c>
      <c r="F552" s="297"/>
    </row>
    <row r="553" spans="1:6" ht="16.95" customHeight="1" x14ac:dyDescent="0.25">
      <c r="A553" s="329"/>
      <c r="B553" s="321"/>
      <c r="C553" s="330"/>
      <c r="D553" s="308" t="s">
        <v>31</v>
      </c>
      <c r="E553" s="300">
        <v>8301153.21</v>
      </c>
      <c r="F553" s="297"/>
    </row>
    <row r="554" spans="1:6" ht="16.95" customHeight="1" x14ac:dyDescent="0.25">
      <c r="A554" s="329"/>
      <c r="B554" s="321"/>
      <c r="C554" s="330"/>
      <c r="D554" s="308" t="s">
        <v>17</v>
      </c>
      <c r="E554" s="300">
        <v>1598068.67</v>
      </c>
      <c r="F554" s="297"/>
    </row>
    <row r="555" spans="1:6" ht="16.95" customHeight="1" x14ac:dyDescent="0.25">
      <c r="A555" s="329"/>
      <c r="B555" s="321"/>
      <c r="C555" s="330"/>
      <c r="D555" s="308" t="s">
        <v>18</v>
      </c>
      <c r="E555" s="300">
        <f>SUM(E552:E554)</f>
        <v>28632063.68</v>
      </c>
      <c r="F555" s="297"/>
    </row>
    <row r="556" spans="1:6" ht="16.95" customHeight="1" x14ac:dyDescent="0.25">
      <c r="A556" s="329">
        <v>163</v>
      </c>
      <c r="B556" s="337" t="s">
        <v>869</v>
      </c>
      <c r="C556" s="330">
        <v>47</v>
      </c>
      <c r="D556" s="308" t="s">
        <v>59</v>
      </c>
      <c r="E556" s="300">
        <v>1215410.51</v>
      </c>
      <c r="F556" s="297"/>
    </row>
    <row r="557" spans="1:6" ht="16.95" customHeight="1" x14ac:dyDescent="0.25">
      <c r="A557" s="329"/>
      <c r="B557" s="321"/>
      <c r="C557" s="330"/>
      <c r="D557" s="308" t="s">
        <v>17</v>
      </c>
      <c r="E557" s="300">
        <v>531157.51</v>
      </c>
      <c r="F557" s="297"/>
    </row>
    <row r="558" spans="1:6" ht="16.95" customHeight="1" x14ac:dyDescent="0.25">
      <c r="A558" s="329"/>
      <c r="B558" s="321"/>
      <c r="C558" s="330"/>
      <c r="D558" s="308" t="s">
        <v>18</v>
      </c>
      <c r="E558" s="300">
        <v>1746568.02</v>
      </c>
      <c r="F558" s="297"/>
    </row>
    <row r="559" spans="1:6" ht="16.95" customHeight="1" x14ac:dyDescent="0.25">
      <c r="A559" s="329">
        <v>164</v>
      </c>
      <c r="B559" s="323" t="s">
        <v>116</v>
      </c>
      <c r="C559" s="319">
        <v>10</v>
      </c>
      <c r="D559" s="308" t="s">
        <v>22</v>
      </c>
      <c r="E559" s="282">
        <v>9508604.9600000009</v>
      </c>
      <c r="F559" s="297"/>
    </row>
    <row r="560" spans="1:6" ht="16.95" customHeight="1" x14ac:dyDescent="0.25">
      <c r="A560" s="329"/>
      <c r="B560" s="324"/>
      <c r="C560" s="322"/>
      <c r="D560" s="308" t="s">
        <v>17</v>
      </c>
      <c r="E560" s="282">
        <v>496000</v>
      </c>
      <c r="F560" s="297"/>
    </row>
    <row r="561" spans="1:6" ht="16.95" customHeight="1" x14ac:dyDescent="0.25">
      <c r="A561" s="329"/>
      <c r="B561" s="325"/>
      <c r="C561" s="320"/>
      <c r="D561" s="308" t="s">
        <v>18</v>
      </c>
      <c r="E561" s="282">
        <v>10004604.960000001</v>
      </c>
      <c r="F561" s="297"/>
    </row>
    <row r="562" spans="1:6" ht="16.95" customHeight="1" x14ac:dyDescent="0.25">
      <c r="A562" s="326">
        <v>165</v>
      </c>
      <c r="B562" s="323" t="s">
        <v>116</v>
      </c>
      <c r="C562" s="319">
        <v>14</v>
      </c>
      <c r="D562" s="308" t="s">
        <v>22</v>
      </c>
      <c r="E562" s="282">
        <v>7131453.7199999997</v>
      </c>
      <c r="F562" s="297"/>
    </row>
    <row r="563" spans="1:6" ht="16.95" customHeight="1" x14ac:dyDescent="0.25">
      <c r="A563" s="327"/>
      <c r="B563" s="324"/>
      <c r="C563" s="322"/>
      <c r="D563" s="308" t="s">
        <v>17</v>
      </c>
      <c r="E563" s="282">
        <v>372000</v>
      </c>
      <c r="F563" s="297"/>
    </row>
    <row r="564" spans="1:6" ht="16.95" customHeight="1" x14ac:dyDescent="0.25">
      <c r="A564" s="328"/>
      <c r="B564" s="325"/>
      <c r="C564" s="320"/>
      <c r="D564" s="308" t="s">
        <v>18</v>
      </c>
      <c r="E564" s="282">
        <v>7503453.7199999997</v>
      </c>
      <c r="F564" s="297"/>
    </row>
    <row r="565" spans="1:6" ht="16.95" customHeight="1" x14ac:dyDescent="0.25">
      <c r="A565" s="326">
        <v>166</v>
      </c>
      <c r="B565" s="323" t="s">
        <v>116</v>
      </c>
      <c r="C565" s="319">
        <v>20</v>
      </c>
      <c r="D565" s="308" t="s">
        <v>22</v>
      </c>
      <c r="E565" s="282">
        <v>7131453.7199999997</v>
      </c>
      <c r="F565" s="297"/>
    </row>
    <row r="566" spans="1:6" ht="16.95" customHeight="1" x14ac:dyDescent="0.25">
      <c r="A566" s="327"/>
      <c r="B566" s="324"/>
      <c r="C566" s="322"/>
      <c r="D566" s="308" t="s">
        <v>17</v>
      </c>
      <c r="E566" s="282">
        <v>372000</v>
      </c>
      <c r="F566" s="297"/>
    </row>
    <row r="567" spans="1:6" ht="16.95" customHeight="1" x14ac:dyDescent="0.25">
      <c r="A567" s="328"/>
      <c r="B567" s="325"/>
      <c r="C567" s="320"/>
      <c r="D567" s="308" t="s">
        <v>18</v>
      </c>
      <c r="E567" s="282">
        <v>7503453.7199999997</v>
      </c>
      <c r="F567" s="297"/>
    </row>
    <row r="568" spans="1:6" ht="16.95" customHeight="1" x14ac:dyDescent="0.25">
      <c r="A568" s="326">
        <v>167</v>
      </c>
      <c r="B568" s="323" t="s">
        <v>119</v>
      </c>
      <c r="C568" s="319" t="s">
        <v>120</v>
      </c>
      <c r="D568" s="308" t="s">
        <v>26</v>
      </c>
      <c r="E568" s="300">
        <v>2209994.52</v>
      </c>
      <c r="F568" s="297"/>
    </row>
    <row r="569" spans="1:6" ht="16.95" customHeight="1" x14ac:dyDescent="0.25">
      <c r="A569" s="327"/>
      <c r="B569" s="324"/>
      <c r="C569" s="322"/>
      <c r="D569" s="308" t="s">
        <v>27</v>
      </c>
      <c r="E569" s="300">
        <v>12012543.99</v>
      </c>
      <c r="F569" s="297"/>
    </row>
    <row r="570" spans="1:6" ht="16.95" customHeight="1" x14ac:dyDescent="0.25">
      <c r="A570" s="327"/>
      <c r="B570" s="324"/>
      <c r="C570" s="322"/>
      <c r="D570" s="308" t="s">
        <v>28</v>
      </c>
      <c r="E570" s="300">
        <v>2331745.94</v>
      </c>
      <c r="F570" s="297"/>
    </row>
    <row r="571" spans="1:6" ht="16.95" customHeight="1" x14ac:dyDescent="0.25">
      <c r="A571" s="327"/>
      <c r="B571" s="324"/>
      <c r="C571" s="322"/>
      <c r="D571" s="308" t="s">
        <v>29</v>
      </c>
      <c r="E571" s="300">
        <v>2306283.9300000002</v>
      </c>
      <c r="F571" s="297"/>
    </row>
    <row r="572" spans="1:6" ht="16.95" customHeight="1" x14ac:dyDescent="0.25">
      <c r="A572" s="327"/>
      <c r="B572" s="324"/>
      <c r="C572" s="322"/>
      <c r="D572" s="308" t="s">
        <v>30</v>
      </c>
      <c r="E572" s="300">
        <v>2311483.92</v>
      </c>
      <c r="F572" s="297"/>
    </row>
    <row r="573" spans="1:6" ht="16.95" customHeight="1" x14ac:dyDescent="0.25">
      <c r="A573" s="327"/>
      <c r="B573" s="324"/>
      <c r="C573" s="322"/>
      <c r="D573" s="308" t="s">
        <v>24</v>
      </c>
      <c r="E573" s="300">
        <v>12613734.23</v>
      </c>
      <c r="F573" s="297"/>
    </row>
    <row r="574" spans="1:6" ht="16.95" customHeight="1" x14ac:dyDescent="0.25">
      <c r="A574" s="327"/>
      <c r="B574" s="324"/>
      <c r="C574" s="322"/>
      <c r="D574" s="308" t="s">
        <v>32</v>
      </c>
      <c r="E574" s="300">
        <v>1393012.7</v>
      </c>
      <c r="F574" s="297"/>
    </row>
    <row r="575" spans="1:6" ht="16.95" customHeight="1" x14ac:dyDescent="0.25">
      <c r="A575" s="328"/>
      <c r="B575" s="325"/>
      <c r="C575" s="320"/>
      <c r="D575" s="308" t="s">
        <v>18</v>
      </c>
      <c r="E575" s="300">
        <v>35178799.229999997</v>
      </c>
      <c r="F575" s="297"/>
    </row>
    <row r="576" spans="1:6" ht="16.95" customHeight="1" x14ac:dyDescent="0.25">
      <c r="A576" s="298">
        <v>1</v>
      </c>
      <c r="B576" s="287">
        <v>2</v>
      </c>
      <c r="C576" s="287">
        <v>3</v>
      </c>
      <c r="D576" s="298">
        <v>4</v>
      </c>
      <c r="E576" s="299">
        <v>5</v>
      </c>
      <c r="F576" s="297"/>
    </row>
    <row r="577" spans="1:6" ht="16.95" customHeight="1" x14ac:dyDescent="0.25">
      <c r="A577" s="326">
        <v>168</v>
      </c>
      <c r="B577" s="323" t="s">
        <v>119</v>
      </c>
      <c r="C577" s="319" t="s">
        <v>121</v>
      </c>
      <c r="D577" s="308" t="s">
        <v>24</v>
      </c>
      <c r="E577" s="300">
        <v>9582087.3100000005</v>
      </c>
      <c r="F577" s="297"/>
    </row>
    <row r="578" spans="1:6" ht="16.95" customHeight="1" x14ac:dyDescent="0.25">
      <c r="A578" s="327"/>
      <c r="B578" s="324"/>
      <c r="C578" s="322"/>
      <c r="D578" s="308" t="s">
        <v>32</v>
      </c>
      <c r="E578" s="300">
        <v>315469.21000000002</v>
      </c>
      <c r="F578" s="297"/>
    </row>
    <row r="579" spans="1:6" ht="16.95" customHeight="1" x14ac:dyDescent="0.25">
      <c r="A579" s="328"/>
      <c r="B579" s="325"/>
      <c r="C579" s="320"/>
      <c r="D579" s="308" t="s">
        <v>18</v>
      </c>
      <c r="E579" s="300">
        <v>9897556.5199999996</v>
      </c>
      <c r="F579" s="297"/>
    </row>
    <row r="580" spans="1:6" ht="16.95" customHeight="1" x14ac:dyDescent="0.25">
      <c r="A580" s="329">
        <v>169</v>
      </c>
      <c r="B580" s="321" t="s">
        <v>119</v>
      </c>
      <c r="C580" s="330" t="s">
        <v>122</v>
      </c>
      <c r="D580" s="308" t="s">
        <v>22</v>
      </c>
      <c r="E580" s="282">
        <v>2377151.2400000002</v>
      </c>
      <c r="F580" s="297"/>
    </row>
    <row r="581" spans="1:6" ht="16.95" customHeight="1" x14ac:dyDescent="0.25">
      <c r="A581" s="329"/>
      <c r="B581" s="321"/>
      <c r="C581" s="330"/>
      <c r="D581" s="308" t="s">
        <v>17</v>
      </c>
      <c r="E581" s="282">
        <v>124000</v>
      </c>
      <c r="F581" s="297"/>
    </row>
    <row r="582" spans="1:6" ht="16.95" customHeight="1" x14ac:dyDescent="0.25">
      <c r="A582" s="329"/>
      <c r="B582" s="321"/>
      <c r="C582" s="330"/>
      <c r="D582" s="308" t="s">
        <v>18</v>
      </c>
      <c r="E582" s="282">
        <v>2501151.2400000002</v>
      </c>
      <c r="F582" s="297"/>
    </row>
    <row r="583" spans="1:6" ht="16.95" customHeight="1" x14ac:dyDescent="0.25">
      <c r="A583" s="329">
        <v>170</v>
      </c>
      <c r="B583" s="321" t="s">
        <v>119</v>
      </c>
      <c r="C583" s="330" t="s">
        <v>123</v>
      </c>
      <c r="D583" s="308" t="s">
        <v>22</v>
      </c>
      <c r="E583" s="282">
        <v>4754302.4800000004</v>
      </c>
      <c r="F583" s="297"/>
    </row>
    <row r="584" spans="1:6" ht="16.95" customHeight="1" x14ac:dyDescent="0.25">
      <c r="A584" s="329"/>
      <c r="B584" s="321"/>
      <c r="C584" s="330"/>
      <c r="D584" s="308" t="s">
        <v>17</v>
      </c>
      <c r="E584" s="282">
        <v>248000</v>
      </c>
      <c r="F584" s="297"/>
    </row>
    <row r="585" spans="1:6" ht="16.95" customHeight="1" x14ac:dyDescent="0.25">
      <c r="A585" s="329"/>
      <c r="B585" s="321"/>
      <c r="C585" s="330"/>
      <c r="D585" s="308" t="s">
        <v>18</v>
      </c>
      <c r="E585" s="282">
        <v>5002302.4800000004</v>
      </c>
      <c r="F585" s="297"/>
    </row>
    <row r="586" spans="1:6" ht="16.95" customHeight="1" x14ac:dyDescent="0.25">
      <c r="A586" s="329">
        <v>171</v>
      </c>
      <c r="B586" s="321" t="s">
        <v>119</v>
      </c>
      <c r="C586" s="330" t="s">
        <v>124</v>
      </c>
      <c r="D586" s="308" t="s">
        <v>22</v>
      </c>
      <c r="E586" s="282">
        <v>2377151.2400000002</v>
      </c>
      <c r="F586" s="297"/>
    </row>
    <row r="587" spans="1:6" ht="16.95" customHeight="1" x14ac:dyDescent="0.25">
      <c r="A587" s="329"/>
      <c r="B587" s="321"/>
      <c r="C587" s="330"/>
      <c r="D587" s="308" t="s">
        <v>17</v>
      </c>
      <c r="E587" s="282">
        <v>124000</v>
      </c>
      <c r="F587" s="297"/>
    </row>
    <row r="588" spans="1:6" ht="16.95" customHeight="1" x14ac:dyDescent="0.25">
      <c r="A588" s="329"/>
      <c r="B588" s="321"/>
      <c r="C588" s="330"/>
      <c r="D588" s="308" t="s">
        <v>18</v>
      </c>
      <c r="E588" s="282">
        <v>2501151.2400000002</v>
      </c>
      <c r="F588" s="297"/>
    </row>
    <row r="589" spans="1:6" ht="16.95" customHeight="1" x14ac:dyDescent="0.25">
      <c r="A589" s="329">
        <v>172</v>
      </c>
      <c r="B589" s="321" t="s">
        <v>119</v>
      </c>
      <c r="C589" s="330" t="s">
        <v>125</v>
      </c>
      <c r="D589" s="308" t="s">
        <v>22</v>
      </c>
      <c r="E589" s="282">
        <v>2377151.2400000002</v>
      </c>
      <c r="F589" s="297"/>
    </row>
    <row r="590" spans="1:6" ht="16.95" customHeight="1" x14ac:dyDescent="0.25">
      <c r="A590" s="329"/>
      <c r="B590" s="321"/>
      <c r="C590" s="330"/>
      <c r="D590" s="308" t="s">
        <v>17</v>
      </c>
      <c r="E590" s="282">
        <v>124000</v>
      </c>
      <c r="F590" s="297"/>
    </row>
    <row r="591" spans="1:6" ht="16.95" customHeight="1" x14ac:dyDescent="0.25">
      <c r="A591" s="329"/>
      <c r="B591" s="321"/>
      <c r="C591" s="330"/>
      <c r="D591" s="308" t="s">
        <v>18</v>
      </c>
      <c r="E591" s="282">
        <v>2501151.2400000002</v>
      </c>
      <c r="F591" s="297"/>
    </row>
    <row r="592" spans="1:6" ht="16.95" customHeight="1" x14ac:dyDescent="0.25">
      <c r="A592" s="329">
        <v>173</v>
      </c>
      <c r="B592" s="321" t="s">
        <v>119</v>
      </c>
      <c r="C592" s="330" t="s">
        <v>126</v>
      </c>
      <c r="D592" s="308" t="s">
        <v>22</v>
      </c>
      <c r="E592" s="282">
        <v>2377151.2400000002</v>
      </c>
      <c r="F592" s="297"/>
    </row>
    <row r="593" spans="1:6" ht="16.95" customHeight="1" x14ac:dyDescent="0.25">
      <c r="A593" s="329"/>
      <c r="B593" s="321"/>
      <c r="C593" s="330"/>
      <c r="D593" s="308" t="s">
        <v>17</v>
      </c>
      <c r="E593" s="282">
        <v>124000</v>
      </c>
      <c r="F593" s="297"/>
    </row>
    <row r="594" spans="1:6" ht="16.95" customHeight="1" x14ac:dyDescent="0.25">
      <c r="A594" s="329"/>
      <c r="B594" s="321"/>
      <c r="C594" s="330"/>
      <c r="D594" s="308" t="s">
        <v>18</v>
      </c>
      <c r="E594" s="282">
        <v>2501151.2400000002</v>
      </c>
      <c r="F594" s="297"/>
    </row>
    <row r="595" spans="1:6" ht="16.95" customHeight="1" x14ac:dyDescent="0.25">
      <c r="A595" s="329">
        <v>174</v>
      </c>
      <c r="B595" s="321" t="s">
        <v>119</v>
      </c>
      <c r="C595" s="330">
        <v>54</v>
      </c>
      <c r="D595" s="308" t="s">
        <v>24</v>
      </c>
      <c r="E595" s="300">
        <v>5439511.8700000001</v>
      </c>
      <c r="F595" s="297"/>
    </row>
    <row r="596" spans="1:6" ht="16.95" customHeight="1" x14ac:dyDescent="0.25">
      <c r="A596" s="329"/>
      <c r="B596" s="321"/>
      <c r="C596" s="330"/>
      <c r="D596" s="308" t="s">
        <v>32</v>
      </c>
      <c r="E596" s="300">
        <v>626259.69999999995</v>
      </c>
      <c r="F596" s="297"/>
    </row>
    <row r="597" spans="1:6" ht="16.95" customHeight="1" x14ac:dyDescent="0.25">
      <c r="A597" s="329"/>
      <c r="B597" s="321"/>
      <c r="C597" s="330"/>
      <c r="D597" s="308" t="s">
        <v>18</v>
      </c>
      <c r="E597" s="300">
        <v>6065771.5700000003</v>
      </c>
      <c r="F597" s="297"/>
    </row>
    <row r="598" spans="1:6" ht="16.95" customHeight="1" x14ac:dyDescent="0.25">
      <c r="A598" s="329">
        <v>175</v>
      </c>
      <c r="B598" s="321" t="s">
        <v>119</v>
      </c>
      <c r="C598" s="330">
        <v>66</v>
      </c>
      <c r="D598" s="308" t="s">
        <v>22</v>
      </c>
      <c r="E598" s="300">
        <v>4754302.4800000004</v>
      </c>
      <c r="F598" s="297"/>
    </row>
    <row r="599" spans="1:6" ht="16.95" customHeight="1" x14ac:dyDescent="0.25">
      <c r="A599" s="329"/>
      <c r="B599" s="321"/>
      <c r="C599" s="330"/>
      <c r="D599" s="308" t="s">
        <v>16</v>
      </c>
      <c r="E599" s="300">
        <v>3702831.57</v>
      </c>
      <c r="F599" s="297"/>
    </row>
    <row r="600" spans="1:6" ht="16.95" customHeight="1" x14ac:dyDescent="0.25">
      <c r="A600" s="329"/>
      <c r="B600" s="321"/>
      <c r="C600" s="330"/>
      <c r="D600" s="308" t="s">
        <v>32</v>
      </c>
      <c r="E600" s="300">
        <v>399890.08</v>
      </c>
      <c r="F600" s="297"/>
    </row>
    <row r="601" spans="1:6" ht="16.95" customHeight="1" x14ac:dyDescent="0.25">
      <c r="A601" s="329"/>
      <c r="B601" s="321"/>
      <c r="C601" s="330"/>
      <c r="D601" s="308" t="s">
        <v>18</v>
      </c>
      <c r="E601" s="300">
        <v>8857024.1300000008</v>
      </c>
      <c r="F601" s="297"/>
    </row>
    <row r="602" spans="1:6" ht="16.95" customHeight="1" x14ac:dyDescent="0.25">
      <c r="A602" s="329">
        <v>176</v>
      </c>
      <c r="B602" s="321" t="s">
        <v>119</v>
      </c>
      <c r="C602" s="330">
        <v>68</v>
      </c>
      <c r="D602" s="308" t="s">
        <v>22</v>
      </c>
      <c r="E602" s="300">
        <v>4754302.4800000004</v>
      </c>
      <c r="F602" s="297"/>
    </row>
    <row r="603" spans="1:6" ht="16.95" customHeight="1" x14ac:dyDescent="0.25">
      <c r="A603" s="329"/>
      <c r="B603" s="321"/>
      <c r="C603" s="330"/>
      <c r="D603" s="308" t="s">
        <v>16</v>
      </c>
      <c r="E603" s="300">
        <v>3702831.57</v>
      </c>
      <c r="F603" s="297"/>
    </row>
    <row r="604" spans="1:6" ht="16.95" customHeight="1" x14ac:dyDescent="0.25">
      <c r="A604" s="329"/>
      <c r="B604" s="321"/>
      <c r="C604" s="330"/>
      <c r="D604" s="308" t="s">
        <v>32</v>
      </c>
      <c r="E604" s="300">
        <v>399890.08</v>
      </c>
      <c r="F604" s="297"/>
    </row>
    <row r="605" spans="1:6" ht="18" customHeight="1" x14ac:dyDescent="0.25">
      <c r="A605" s="298">
        <v>1</v>
      </c>
      <c r="B605" s="287">
        <v>2</v>
      </c>
      <c r="C605" s="287">
        <v>3</v>
      </c>
      <c r="D605" s="298">
        <v>4</v>
      </c>
      <c r="E605" s="299">
        <v>5</v>
      </c>
      <c r="F605" s="297"/>
    </row>
    <row r="606" spans="1:6" ht="16.95" customHeight="1" x14ac:dyDescent="0.25">
      <c r="A606" s="301"/>
      <c r="B606" s="288"/>
      <c r="C606" s="288"/>
      <c r="D606" s="308" t="s">
        <v>18</v>
      </c>
      <c r="E606" s="300">
        <v>8857024.1300000008</v>
      </c>
      <c r="F606" s="297"/>
    </row>
    <row r="607" spans="1:6" ht="16.95" customHeight="1" x14ac:dyDescent="0.25">
      <c r="A607" s="329">
        <v>177</v>
      </c>
      <c r="B607" s="321" t="s">
        <v>119</v>
      </c>
      <c r="C607" s="330">
        <v>70</v>
      </c>
      <c r="D607" s="308" t="s">
        <v>22</v>
      </c>
      <c r="E607" s="300">
        <v>4754302.4800000004</v>
      </c>
      <c r="F607" s="297"/>
    </row>
    <row r="608" spans="1:6" ht="16.95" customHeight="1" x14ac:dyDescent="0.25">
      <c r="A608" s="329"/>
      <c r="B608" s="321"/>
      <c r="C608" s="330"/>
      <c r="D608" s="308" t="s">
        <v>16</v>
      </c>
      <c r="E608" s="300">
        <v>3702831.57</v>
      </c>
      <c r="F608" s="297"/>
    </row>
    <row r="609" spans="1:6" ht="16.95" customHeight="1" x14ac:dyDescent="0.25">
      <c r="A609" s="329"/>
      <c r="B609" s="321"/>
      <c r="C609" s="330"/>
      <c r="D609" s="308" t="s">
        <v>32</v>
      </c>
      <c r="E609" s="300">
        <v>399890.08</v>
      </c>
      <c r="F609" s="297"/>
    </row>
    <row r="610" spans="1:6" ht="16.95" customHeight="1" x14ac:dyDescent="0.25">
      <c r="A610" s="329"/>
      <c r="B610" s="321"/>
      <c r="C610" s="330"/>
      <c r="D610" s="308" t="s">
        <v>18</v>
      </c>
      <c r="E610" s="300">
        <v>8857024.1300000008</v>
      </c>
      <c r="F610" s="297"/>
    </row>
    <row r="611" spans="1:6" ht="16.95" customHeight="1" x14ac:dyDescent="0.25">
      <c r="A611" s="329">
        <v>178</v>
      </c>
      <c r="B611" s="321" t="s">
        <v>119</v>
      </c>
      <c r="C611" s="330">
        <v>72</v>
      </c>
      <c r="D611" s="308" t="s">
        <v>22</v>
      </c>
      <c r="E611" s="300">
        <v>7131453.7199999997</v>
      </c>
      <c r="F611" s="297"/>
    </row>
    <row r="612" spans="1:6" ht="16.95" customHeight="1" x14ac:dyDescent="0.25">
      <c r="A612" s="329"/>
      <c r="B612" s="321"/>
      <c r="C612" s="330"/>
      <c r="D612" s="308" t="s">
        <v>16</v>
      </c>
      <c r="E612" s="300">
        <v>5554247.3499999996</v>
      </c>
      <c r="F612" s="297"/>
    </row>
    <row r="613" spans="1:6" ht="16.95" customHeight="1" x14ac:dyDescent="0.25">
      <c r="A613" s="329"/>
      <c r="B613" s="321"/>
      <c r="C613" s="330"/>
      <c r="D613" s="308" t="s">
        <v>32</v>
      </c>
      <c r="E613" s="300">
        <v>599835.12</v>
      </c>
      <c r="F613" s="297"/>
    </row>
    <row r="614" spans="1:6" ht="16.95" customHeight="1" x14ac:dyDescent="0.25">
      <c r="A614" s="329"/>
      <c r="B614" s="321"/>
      <c r="C614" s="330"/>
      <c r="D614" s="308" t="s">
        <v>18</v>
      </c>
      <c r="E614" s="300">
        <v>13285536.189999999</v>
      </c>
      <c r="F614" s="297"/>
    </row>
    <row r="615" spans="1:6" ht="16.95" customHeight="1" x14ac:dyDescent="0.25">
      <c r="A615" s="329">
        <v>179</v>
      </c>
      <c r="B615" s="321" t="s">
        <v>119</v>
      </c>
      <c r="C615" s="330">
        <v>74</v>
      </c>
      <c r="D615" s="308" t="s">
        <v>22</v>
      </c>
      <c r="E615" s="300">
        <v>11885756.199999999</v>
      </c>
      <c r="F615" s="297"/>
    </row>
    <row r="616" spans="1:6" ht="16.95" customHeight="1" x14ac:dyDescent="0.25">
      <c r="A616" s="329"/>
      <c r="B616" s="321"/>
      <c r="C616" s="330"/>
      <c r="D616" s="308" t="s">
        <v>16</v>
      </c>
      <c r="E616" s="300">
        <v>9257078.9199999999</v>
      </c>
      <c r="F616" s="297"/>
    </row>
    <row r="617" spans="1:6" ht="16.95" customHeight="1" x14ac:dyDescent="0.25">
      <c r="A617" s="329"/>
      <c r="B617" s="321"/>
      <c r="C617" s="330"/>
      <c r="D617" s="308" t="s">
        <v>32</v>
      </c>
      <c r="E617" s="300">
        <v>999725.2</v>
      </c>
      <c r="F617" s="297"/>
    </row>
    <row r="618" spans="1:6" ht="16.95" customHeight="1" x14ac:dyDescent="0.25">
      <c r="A618" s="329"/>
      <c r="B618" s="321"/>
      <c r="C618" s="330"/>
      <c r="D618" s="308" t="s">
        <v>18</v>
      </c>
      <c r="E618" s="300">
        <v>22142560.32</v>
      </c>
      <c r="F618" s="297"/>
    </row>
    <row r="619" spans="1:6" ht="16.95" customHeight="1" x14ac:dyDescent="0.25">
      <c r="A619" s="329">
        <v>180</v>
      </c>
      <c r="B619" s="321" t="s">
        <v>119</v>
      </c>
      <c r="C619" s="330">
        <v>82</v>
      </c>
      <c r="D619" s="308" t="s">
        <v>22</v>
      </c>
      <c r="E619" s="300">
        <v>7131453.7199999997</v>
      </c>
      <c r="F619" s="297"/>
    </row>
    <row r="620" spans="1:6" ht="16.95" customHeight="1" x14ac:dyDescent="0.25">
      <c r="A620" s="329"/>
      <c r="B620" s="321"/>
      <c r="C620" s="330"/>
      <c r="D620" s="308" t="s">
        <v>16</v>
      </c>
      <c r="E620" s="300">
        <v>5554247.3499999996</v>
      </c>
      <c r="F620" s="297"/>
    </row>
    <row r="621" spans="1:6" ht="16.95" customHeight="1" x14ac:dyDescent="0.25">
      <c r="A621" s="329"/>
      <c r="B621" s="321"/>
      <c r="C621" s="330"/>
      <c r="D621" s="308" t="s">
        <v>32</v>
      </c>
      <c r="E621" s="300">
        <v>599835.12</v>
      </c>
      <c r="F621" s="297"/>
    </row>
    <row r="622" spans="1:6" ht="16.95" customHeight="1" x14ac:dyDescent="0.25">
      <c r="A622" s="329"/>
      <c r="B622" s="321"/>
      <c r="C622" s="330"/>
      <c r="D622" s="308" t="s">
        <v>18</v>
      </c>
      <c r="E622" s="300">
        <v>13285536.189999999</v>
      </c>
      <c r="F622" s="297"/>
    </row>
    <row r="623" spans="1:6" ht="16.95" customHeight="1" x14ac:dyDescent="0.25">
      <c r="A623" s="329">
        <v>181</v>
      </c>
      <c r="B623" s="321" t="s">
        <v>127</v>
      </c>
      <c r="C623" s="330">
        <v>6</v>
      </c>
      <c r="D623" s="308" t="s">
        <v>24</v>
      </c>
      <c r="E623" s="300">
        <v>9197335.9399999995</v>
      </c>
      <c r="F623" s="297"/>
    </row>
    <row r="624" spans="1:6" ht="16.95" customHeight="1" x14ac:dyDescent="0.25">
      <c r="A624" s="329"/>
      <c r="B624" s="321"/>
      <c r="C624" s="330"/>
      <c r="D624" s="308" t="s">
        <v>17</v>
      </c>
      <c r="E624" s="300">
        <v>543684.88</v>
      </c>
      <c r="F624" s="297"/>
    </row>
    <row r="625" spans="1:6" ht="16.95" customHeight="1" x14ac:dyDescent="0.25">
      <c r="A625" s="329"/>
      <c r="B625" s="321"/>
      <c r="C625" s="330"/>
      <c r="D625" s="308" t="s">
        <v>18</v>
      </c>
      <c r="E625" s="300">
        <v>9741020.8200000003</v>
      </c>
      <c r="F625" s="297"/>
    </row>
    <row r="626" spans="1:6" ht="16.95" customHeight="1" x14ac:dyDescent="0.25">
      <c r="A626" s="329">
        <v>182</v>
      </c>
      <c r="B626" s="321" t="s">
        <v>128</v>
      </c>
      <c r="C626" s="330">
        <v>9</v>
      </c>
      <c r="D626" s="308" t="s">
        <v>129</v>
      </c>
      <c r="E626" s="300">
        <v>2933294.07</v>
      </c>
      <c r="F626" s="297"/>
    </row>
    <row r="627" spans="1:6" ht="16.95" customHeight="1" x14ac:dyDescent="0.25">
      <c r="A627" s="329"/>
      <c r="B627" s="321"/>
      <c r="C627" s="330"/>
      <c r="D627" s="308" t="s">
        <v>32</v>
      </c>
      <c r="E627" s="300">
        <v>7014.9</v>
      </c>
      <c r="F627" s="297"/>
    </row>
    <row r="628" spans="1:6" ht="16.95" customHeight="1" x14ac:dyDescent="0.25">
      <c r="A628" s="329"/>
      <c r="B628" s="321"/>
      <c r="C628" s="330"/>
      <c r="D628" s="308" t="s">
        <v>18</v>
      </c>
      <c r="E628" s="300">
        <v>2940308.97</v>
      </c>
      <c r="F628" s="297"/>
    </row>
    <row r="629" spans="1:6" ht="16.95" customHeight="1" x14ac:dyDescent="0.25">
      <c r="A629" s="326">
        <v>183</v>
      </c>
      <c r="B629" s="323" t="s">
        <v>130</v>
      </c>
      <c r="C629" s="319">
        <v>6</v>
      </c>
      <c r="D629" s="308" t="s">
        <v>24</v>
      </c>
      <c r="E629" s="300">
        <v>7373778.3099999996</v>
      </c>
      <c r="F629" s="297"/>
    </row>
    <row r="630" spans="1:6" ht="16.95" customHeight="1" x14ac:dyDescent="0.25">
      <c r="A630" s="327"/>
      <c r="B630" s="324"/>
      <c r="C630" s="322"/>
      <c r="D630" s="308" t="s">
        <v>32</v>
      </c>
      <c r="E630" s="300">
        <v>310356.7</v>
      </c>
      <c r="F630" s="297"/>
    </row>
    <row r="631" spans="1:6" ht="16.95" customHeight="1" x14ac:dyDescent="0.25">
      <c r="A631" s="328"/>
      <c r="B631" s="325"/>
      <c r="C631" s="320"/>
      <c r="D631" s="308" t="s">
        <v>18</v>
      </c>
      <c r="E631" s="300">
        <v>7684135.0099999998</v>
      </c>
      <c r="F631" s="297"/>
    </row>
    <row r="632" spans="1:6" ht="16.95" customHeight="1" x14ac:dyDescent="0.25">
      <c r="A632" s="329">
        <v>184</v>
      </c>
      <c r="B632" s="321" t="s">
        <v>131</v>
      </c>
      <c r="C632" s="330" t="s">
        <v>132</v>
      </c>
      <c r="D632" s="308" t="s">
        <v>22</v>
      </c>
      <c r="E632" s="300">
        <v>7131453.7199999997</v>
      </c>
      <c r="F632" s="297"/>
    </row>
    <row r="633" spans="1:6" ht="16.95" customHeight="1" x14ac:dyDescent="0.25">
      <c r="A633" s="329"/>
      <c r="B633" s="321"/>
      <c r="C633" s="330"/>
      <c r="D633" s="308" t="s">
        <v>32</v>
      </c>
      <c r="E633" s="300">
        <v>372000</v>
      </c>
      <c r="F633" s="297"/>
    </row>
    <row r="634" spans="1:6" ht="18" customHeight="1" x14ac:dyDescent="0.25">
      <c r="A634" s="298">
        <v>1</v>
      </c>
      <c r="B634" s="287">
        <v>2</v>
      </c>
      <c r="C634" s="287">
        <v>3</v>
      </c>
      <c r="D634" s="298">
        <v>4</v>
      </c>
      <c r="E634" s="299">
        <v>5</v>
      </c>
      <c r="F634" s="297"/>
    </row>
    <row r="635" spans="1:6" ht="16.95" customHeight="1" x14ac:dyDescent="0.25">
      <c r="A635" s="301"/>
      <c r="B635" s="288"/>
      <c r="C635" s="288"/>
      <c r="D635" s="308" t="s">
        <v>18</v>
      </c>
      <c r="E635" s="300">
        <v>7503453.7199999997</v>
      </c>
      <c r="F635" s="297"/>
    </row>
    <row r="636" spans="1:6" ht="16.95" customHeight="1" x14ac:dyDescent="0.25">
      <c r="A636" s="329">
        <v>185</v>
      </c>
      <c r="B636" s="321" t="s">
        <v>133</v>
      </c>
      <c r="C636" s="330">
        <v>1</v>
      </c>
      <c r="D636" s="308" t="s">
        <v>24</v>
      </c>
      <c r="E636" s="300">
        <v>11643967.220000001</v>
      </c>
      <c r="F636" s="297"/>
    </row>
    <row r="637" spans="1:6" ht="16.95" customHeight="1" x14ac:dyDescent="0.25">
      <c r="A637" s="329"/>
      <c r="B637" s="321"/>
      <c r="C637" s="330"/>
      <c r="D637" s="308" t="s">
        <v>32</v>
      </c>
      <c r="E637" s="300">
        <v>486116.38</v>
      </c>
      <c r="F637" s="297"/>
    </row>
    <row r="638" spans="1:6" ht="16.95" customHeight="1" x14ac:dyDescent="0.25">
      <c r="A638" s="329"/>
      <c r="B638" s="321"/>
      <c r="C638" s="330"/>
      <c r="D638" s="308" t="s">
        <v>18</v>
      </c>
      <c r="E638" s="300">
        <v>12130083.6</v>
      </c>
      <c r="F638" s="297"/>
    </row>
    <row r="639" spans="1:6" ht="16.95" customHeight="1" x14ac:dyDescent="0.25">
      <c r="A639" s="329">
        <v>186</v>
      </c>
      <c r="B639" s="321" t="s">
        <v>133</v>
      </c>
      <c r="C639" s="330">
        <v>3</v>
      </c>
      <c r="D639" s="308" t="s">
        <v>24</v>
      </c>
      <c r="E639" s="300">
        <v>40562734.329999998</v>
      </c>
      <c r="F639" s="297"/>
    </row>
    <row r="640" spans="1:6" ht="16.95" customHeight="1" x14ac:dyDescent="0.25">
      <c r="A640" s="329"/>
      <c r="B640" s="321"/>
      <c r="C640" s="330"/>
      <c r="D640" s="308" t="s">
        <v>32</v>
      </c>
      <c r="E640" s="300">
        <v>2327236.1</v>
      </c>
      <c r="F640" s="297"/>
    </row>
    <row r="641" spans="1:6" ht="16.95" customHeight="1" x14ac:dyDescent="0.25">
      <c r="A641" s="329"/>
      <c r="B641" s="321"/>
      <c r="C641" s="330"/>
      <c r="D641" s="308" t="s">
        <v>18</v>
      </c>
      <c r="E641" s="300">
        <v>42889970.43</v>
      </c>
      <c r="F641" s="297"/>
    </row>
    <row r="642" spans="1:6" ht="16.95" customHeight="1" x14ac:dyDescent="0.25">
      <c r="A642" s="329">
        <v>187</v>
      </c>
      <c r="B642" s="321" t="s">
        <v>134</v>
      </c>
      <c r="C642" s="330">
        <v>19</v>
      </c>
      <c r="D642" s="308" t="s">
        <v>31</v>
      </c>
      <c r="E642" s="300">
        <v>6280782.7699999996</v>
      </c>
      <c r="F642" s="297"/>
    </row>
    <row r="643" spans="1:6" ht="16.95" customHeight="1" x14ac:dyDescent="0.25">
      <c r="A643" s="329"/>
      <c r="B643" s="321"/>
      <c r="C643" s="330"/>
      <c r="D643" s="308" t="s">
        <v>18</v>
      </c>
      <c r="E643" s="300">
        <v>6280782.7699999996</v>
      </c>
      <c r="F643" s="297"/>
    </row>
    <row r="644" spans="1:6" ht="16.95" customHeight="1" x14ac:dyDescent="0.25">
      <c r="A644" s="329">
        <v>188</v>
      </c>
      <c r="B644" s="321" t="s">
        <v>134</v>
      </c>
      <c r="C644" s="336" t="s">
        <v>135</v>
      </c>
      <c r="D644" s="308" t="s">
        <v>31</v>
      </c>
      <c r="E644" s="300">
        <v>7432827.1299999999</v>
      </c>
      <c r="F644" s="297"/>
    </row>
    <row r="645" spans="1:6" ht="16.95" customHeight="1" x14ac:dyDescent="0.25">
      <c r="A645" s="329"/>
      <c r="B645" s="321"/>
      <c r="C645" s="336"/>
      <c r="D645" s="308" t="s">
        <v>17</v>
      </c>
      <c r="E645" s="300">
        <v>619835.74</v>
      </c>
      <c r="F645" s="297"/>
    </row>
    <row r="646" spans="1:6" ht="16.95" customHeight="1" x14ac:dyDescent="0.25">
      <c r="A646" s="329"/>
      <c r="B646" s="321"/>
      <c r="C646" s="336"/>
      <c r="D646" s="308" t="s">
        <v>18</v>
      </c>
      <c r="E646" s="300">
        <v>8052662.8700000001</v>
      </c>
      <c r="F646" s="297"/>
    </row>
    <row r="647" spans="1:6" ht="16.95" customHeight="1" x14ac:dyDescent="0.25">
      <c r="A647" s="329">
        <v>189</v>
      </c>
      <c r="B647" s="321" t="s">
        <v>136</v>
      </c>
      <c r="C647" s="330" t="s">
        <v>137</v>
      </c>
      <c r="D647" s="308" t="s">
        <v>24</v>
      </c>
      <c r="E647" s="300">
        <v>15206067.59</v>
      </c>
      <c r="F647" s="297"/>
    </row>
    <row r="648" spans="1:6" ht="16.95" customHeight="1" x14ac:dyDescent="0.25">
      <c r="A648" s="329"/>
      <c r="B648" s="321"/>
      <c r="C648" s="330"/>
      <c r="D648" s="308" t="s">
        <v>32</v>
      </c>
      <c r="E648" s="300">
        <v>852955.1</v>
      </c>
      <c r="F648" s="297"/>
    </row>
    <row r="649" spans="1:6" ht="16.95" customHeight="1" x14ac:dyDescent="0.25">
      <c r="A649" s="329"/>
      <c r="B649" s="321"/>
      <c r="C649" s="330"/>
      <c r="D649" s="308" t="s">
        <v>18</v>
      </c>
      <c r="E649" s="300">
        <v>16059022.689999999</v>
      </c>
      <c r="F649" s="297"/>
    </row>
    <row r="650" spans="1:6" ht="16.95" customHeight="1" x14ac:dyDescent="0.25">
      <c r="A650" s="329">
        <v>190</v>
      </c>
      <c r="B650" s="321" t="s">
        <v>136</v>
      </c>
      <c r="C650" s="330">
        <v>35</v>
      </c>
      <c r="D650" s="308" t="s">
        <v>31</v>
      </c>
      <c r="E650" s="300">
        <v>4369840.8</v>
      </c>
      <c r="F650" s="297"/>
    </row>
    <row r="651" spans="1:6" ht="16.95" customHeight="1" x14ac:dyDescent="0.25">
      <c r="A651" s="329"/>
      <c r="B651" s="321"/>
      <c r="C651" s="330"/>
      <c r="D651" s="308" t="s">
        <v>32</v>
      </c>
      <c r="E651" s="300">
        <v>258315.71</v>
      </c>
      <c r="F651" s="297"/>
    </row>
    <row r="652" spans="1:6" ht="16.95" customHeight="1" x14ac:dyDescent="0.25">
      <c r="A652" s="329"/>
      <c r="B652" s="321"/>
      <c r="C652" s="330"/>
      <c r="D652" s="308" t="s">
        <v>18</v>
      </c>
      <c r="E652" s="300">
        <v>4628156.51</v>
      </c>
      <c r="F652" s="297"/>
    </row>
    <row r="653" spans="1:6" ht="16.95" customHeight="1" x14ac:dyDescent="0.25">
      <c r="A653" s="329">
        <v>191</v>
      </c>
      <c r="B653" s="323" t="s">
        <v>138</v>
      </c>
      <c r="C653" s="319">
        <v>5</v>
      </c>
      <c r="D653" s="308" t="s">
        <v>22</v>
      </c>
      <c r="E653" s="282">
        <v>2377151.2400000002</v>
      </c>
      <c r="F653" s="297"/>
    </row>
    <row r="654" spans="1:6" ht="16.95" customHeight="1" x14ac:dyDescent="0.25">
      <c r="A654" s="329"/>
      <c r="B654" s="324"/>
      <c r="C654" s="322"/>
      <c r="D654" s="308" t="s">
        <v>24</v>
      </c>
      <c r="E654" s="280">
        <v>15132111.109999999</v>
      </c>
      <c r="F654" s="297"/>
    </row>
    <row r="655" spans="1:6" ht="16.95" customHeight="1" x14ac:dyDescent="0.25">
      <c r="A655" s="329"/>
      <c r="B655" s="324"/>
      <c r="C655" s="322"/>
      <c r="D655" s="308" t="s">
        <v>31</v>
      </c>
      <c r="E655" s="280">
        <v>20640142.640000001</v>
      </c>
      <c r="F655" s="297"/>
    </row>
    <row r="656" spans="1:6" ht="16.95" customHeight="1" x14ac:dyDescent="0.25">
      <c r="A656" s="329"/>
      <c r="B656" s="324"/>
      <c r="C656" s="322"/>
      <c r="D656" s="308" t="s">
        <v>17</v>
      </c>
      <c r="E656" s="280">
        <v>2591051.98</v>
      </c>
      <c r="F656" s="297"/>
    </row>
    <row r="657" spans="1:6" ht="16.95" customHeight="1" x14ac:dyDescent="0.25">
      <c r="A657" s="329"/>
      <c r="B657" s="325"/>
      <c r="C657" s="320"/>
      <c r="D657" s="308" t="s">
        <v>18</v>
      </c>
      <c r="E657" s="280">
        <v>40740456.969999999</v>
      </c>
      <c r="F657" s="297"/>
    </row>
    <row r="658" spans="1:6" ht="16.95" customHeight="1" x14ac:dyDescent="0.25">
      <c r="A658" s="326">
        <v>192</v>
      </c>
      <c r="B658" s="323" t="s">
        <v>138</v>
      </c>
      <c r="C658" s="319">
        <v>7</v>
      </c>
      <c r="D658" s="308" t="s">
        <v>22</v>
      </c>
      <c r="E658" s="282">
        <v>2377151.2400000002</v>
      </c>
      <c r="F658" s="297"/>
    </row>
    <row r="659" spans="1:6" ht="16.95" customHeight="1" x14ac:dyDescent="0.25">
      <c r="A659" s="327"/>
      <c r="B659" s="324"/>
      <c r="C659" s="322"/>
      <c r="D659" s="308" t="s">
        <v>24</v>
      </c>
      <c r="E659" s="280">
        <v>12804094.01</v>
      </c>
      <c r="F659" s="297"/>
    </row>
    <row r="660" spans="1:6" ht="16.95" customHeight="1" x14ac:dyDescent="0.25">
      <c r="A660" s="327"/>
      <c r="B660" s="324"/>
      <c r="C660" s="322"/>
      <c r="D660" s="308" t="s">
        <v>31</v>
      </c>
      <c r="E660" s="280">
        <v>18617829.530000001</v>
      </c>
      <c r="F660" s="297"/>
    </row>
    <row r="661" spans="1:6" ht="16.95" customHeight="1" x14ac:dyDescent="0.25">
      <c r="A661" s="327"/>
      <c r="B661" s="324"/>
      <c r="C661" s="322"/>
      <c r="D661" s="308" t="s">
        <v>17</v>
      </c>
      <c r="E661" s="280">
        <v>2291029.21</v>
      </c>
      <c r="F661" s="297"/>
    </row>
    <row r="662" spans="1:6" ht="16.95" customHeight="1" x14ac:dyDescent="0.25">
      <c r="A662" s="328"/>
      <c r="B662" s="325"/>
      <c r="C662" s="320"/>
      <c r="D662" s="308" t="s">
        <v>18</v>
      </c>
      <c r="E662" s="280">
        <v>36090103.990000002</v>
      </c>
      <c r="F662" s="297"/>
    </row>
    <row r="663" spans="1:6" ht="18.600000000000001" customHeight="1" x14ac:dyDescent="0.25">
      <c r="A663" s="298">
        <v>1</v>
      </c>
      <c r="B663" s="287">
        <v>2</v>
      </c>
      <c r="C663" s="287">
        <v>3</v>
      </c>
      <c r="D663" s="298">
        <v>4</v>
      </c>
      <c r="E663" s="299">
        <v>5</v>
      </c>
      <c r="F663" s="297"/>
    </row>
    <row r="664" spans="1:6" ht="16.95" customHeight="1" x14ac:dyDescent="0.25">
      <c r="A664" s="329">
        <v>193</v>
      </c>
      <c r="B664" s="323" t="s">
        <v>138</v>
      </c>
      <c r="C664" s="319">
        <v>8</v>
      </c>
      <c r="D664" s="308" t="s">
        <v>24</v>
      </c>
      <c r="E664" s="282">
        <v>11503615.5</v>
      </c>
      <c r="F664" s="297"/>
    </row>
    <row r="665" spans="1:6" ht="16.95" customHeight="1" x14ac:dyDescent="0.25">
      <c r="A665" s="329"/>
      <c r="B665" s="324"/>
      <c r="C665" s="322"/>
      <c r="D665" s="308" t="s">
        <v>31</v>
      </c>
      <c r="E665" s="282">
        <v>15785947.65</v>
      </c>
      <c r="F665" s="297"/>
    </row>
    <row r="666" spans="1:6" ht="16.95" customHeight="1" x14ac:dyDescent="0.25">
      <c r="A666" s="329"/>
      <c r="B666" s="324"/>
      <c r="C666" s="322"/>
      <c r="D666" s="308" t="s">
        <v>32</v>
      </c>
      <c r="E666" s="282">
        <v>1882038.83</v>
      </c>
      <c r="F666" s="297"/>
    </row>
    <row r="667" spans="1:6" ht="16.95" customHeight="1" x14ac:dyDescent="0.25">
      <c r="A667" s="329"/>
      <c r="B667" s="325"/>
      <c r="C667" s="320"/>
      <c r="D667" s="308" t="s">
        <v>18</v>
      </c>
      <c r="E667" s="280">
        <v>29171601.979999997</v>
      </c>
      <c r="F667" s="297"/>
    </row>
    <row r="668" spans="1:6" ht="16.95" customHeight="1" x14ac:dyDescent="0.25">
      <c r="A668" s="326">
        <v>194</v>
      </c>
      <c r="B668" s="323" t="s">
        <v>138</v>
      </c>
      <c r="C668" s="319">
        <v>9</v>
      </c>
      <c r="D668" s="308" t="s">
        <v>22</v>
      </c>
      <c r="E668" s="282">
        <v>2377151.2400000002</v>
      </c>
      <c r="F668" s="297"/>
    </row>
    <row r="669" spans="1:6" ht="16.95" customHeight="1" x14ac:dyDescent="0.25">
      <c r="A669" s="327"/>
      <c r="B669" s="324"/>
      <c r="C669" s="322"/>
      <c r="D669" s="308" t="s">
        <v>17</v>
      </c>
      <c r="E669" s="282">
        <v>124000</v>
      </c>
      <c r="F669" s="297"/>
    </row>
    <row r="670" spans="1:6" ht="16.95" customHeight="1" x14ac:dyDescent="0.25">
      <c r="A670" s="328"/>
      <c r="B670" s="325"/>
      <c r="C670" s="320"/>
      <c r="D670" s="308" t="s">
        <v>18</v>
      </c>
      <c r="E670" s="282">
        <v>2501151.2400000002</v>
      </c>
      <c r="F670" s="297"/>
    </row>
    <row r="671" spans="1:6" ht="16.95" customHeight="1" x14ac:dyDescent="0.25">
      <c r="A671" s="326">
        <v>195</v>
      </c>
      <c r="B671" s="323" t="s">
        <v>138</v>
      </c>
      <c r="C671" s="319">
        <v>11</v>
      </c>
      <c r="D671" s="308" t="s">
        <v>22</v>
      </c>
      <c r="E671" s="282">
        <v>2377151.2400000002</v>
      </c>
      <c r="F671" s="297"/>
    </row>
    <row r="672" spans="1:6" ht="16.95" customHeight="1" x14ac:dyDescent="0.25">
      <c r="A672" s="327"/>
      <c r="B672" s="324"/>
      <c r="C672" s="322"/>
      <c r="D672" s="308" t="s">
        <v>17</v>
      </c>
      <c r="E672" s="282">
        <v>124000</v>
      </c>
      <c r="F672" s="297"/>
    </row>
    <row r="673" spans="1:6" ht="16.95" customHeight="1" x14ac:dyDescent="0.25">
      <c r="A673" s="328"/>
      <c r="B673" s="325"/>
      <c r="C673" s="320"/>
      <c r="D673" s="308" t="s">
        <v>18</v>
      </c>
      <c r="E673" s="282">
        <v>2501151.2400000002</v>
      </c>
      <c r="F673" s="297"/>
    </row>
    <row r="674" spans="1:6" ht="16.95" customHeight="1" x14ac:dyDescent="0.25">
      <c r="A674" s="329">
        <v>196</v>
      </c>
      <c r="B674" s="323" t="s">
        <v>138</v>
      </c>
      <c r="C674" s="319">
        <v>13</v>
      </c>
      <c r="D674" s="308" t="s">
        <v>22</v>
      </c>
      <c r="E674" s="282">
        <v>2377151.2400000002</v>
      </c>
      <c r="F674" s="297"/>
    </row>
    <row r="675" spans="1:6" ht="16.95" customHeight="1" x14ac:dyDescent="0.25">
      <c r="A675" s="329"/>
      <c r="B675" s="324"/>
      <c r="C675" s="322"/>
      <c r="D675" s="308" t="s">
        <v>24</v>
      </c>
      <c r="E675" s="282">
        <v>15132111.109999999</v>
      </c>
      <c r="F675" s="297"/>
    </row>
    <row r="676" spans="1:6" ht="16.95" customHeight="1" x14ac:dyDescent="0.25">
      <c r="A676" s="329"/>
      <c r="B676" s="324"/>
      <c r="C676" s="322"/>
      <c r="D676" s="308" t="s">
        <v>33</v>
      </c>
      <c r="E676" s="282">
        <v>19776195.030000001</v>
      </c>
      <c r="F676" s="297"/>
    </row>
    <row r="677" spans="1:6" ht="16.95" customHeight="1" x14ac:dyDescent="0.25">
      <c r="A677" s="329"/>
      <c r="B677" s="324"/>
      <c r="C677" s="322"/>
      <c r="D677" s="308" t="s">
        <v>17</v>
      </c>
      <c r="E677" s="282">
        <v>2531469.39</v>
      </c>
      <c r="F677" s="297"/>
    </row>
    <row r="678" spans="1:6" ht="16.95" customHeight="1" x14ac:dyDescent="0.25">
      <c r="A678" s="329"/>
      <c r="B678" s="325"/>
      <c r="C678" s="320"/>
      <c r="D678" s="308" t="s">
        <v>18</v>
      </c>
      <c r="E678" s="282">
        <v>39816926.770000003</v>
      </c>
      <c r="F678" s="297"/>
    </row>
    <row r="679" spans="1:6" ht="16.95" customHeight="1" x14ac:dyDescent="0.25">
      <c r="A679" s="329">
        <v>197</v>
      </c>
      <c r="B679" s="323" t="s">
        <v>138</v>
      </c>
      <c r="C679" s="319">
        <v>15</v>
      </c>
      <c r="D679" s="308" t="s">
        <v>22</v>
      </c>
      <c r="E679" s="282">
        <v>2377151.2400000002</v>
      </c>
      <c r="F679" s="297"/>
    </row>
    <row r="680" spans="1:6" ht="16.95" customHeight="1" x14ac:dyDescent="0.25">
      <c r="A680" s="329"/>
      <c r="B680" s="324"/>
      <c r="C680" s="322"/>
      <c r="D680" s="308" t="s">
        <v>17</v>
      </c>
      <c r="E680" s="282">
        <v>124000</v>
      </c>
      <c r="F680" s="297"/>
    </row>
    <row r="681" spans="1:6" ht="16.95" customHeight="1" x14ac:dyDescent="0.25">
      <c r="A681" s="329"/>
      <c r="B681" s="325"/>
      <c r="C681" s="320"/>
      <c r="D681" s="308" t="s">
        <v>18</v>
      </c>
      <c r="E681" s="282">
        <v>2501151.2400000002</v>
      </c>
      <c r="F681" s="297"/>
    </row>
    <row r="682" spans="1:6" ht="16.95" customHeight="1" x14ac:dyDescent="0.25">
      <c r="A682" s="329">
        <v>198</v>
      </c>
      <c r="B682" s="323" t="s">
        <v>138</v>
      </c>
      <c r="C682" s="319">
        <v>17</v>
      </c>
      <c r="D682" s="308" t="s">
        <v>22</v>
      </c>
      <c r="E682" s="282">
        <v>2377151.2400000002</v>
      </c>
      <c r="F682" s="297"/>
    </row>
    <row r="683" spans="1:6" ht="16.95" customHeight="1" x14ac:dyDescent="0.25">
      <c r="A683" s="329"/>
      <c r="B683" s="324"/>
      <c r="C683" s="322"/>
      <c r="D683" s="308" t="s">
        <v>17</v>
      </c>
      <c r="E683" s="282">
        <v>124000</v>
      </c>
      <c r="F683" s="297"/>
    </row>
    <row r="684" spans="1:6" ht="16.95" customHeight="1" x14ac:dyDescent="0.25">
      <c r="A684" s="329"/>
      <c r="B684" s="325"/>
      <c r="C684" s="320"/>
      <c r="D684" s="308" t="s">
        <v>18</v>
      </c>
      <c r="E684" s="282">
        <v>2501151.2400000002</v>
      </c>
      <c r="F684" s="297"/>
    </row>
    <row r="685" spans="1:6" ht="16.95" customHeight="1" x14ac:dyDescent="0.25">
      <c r="A685" s="329">
        <v>199</v>
      </c>
      <c r="B685" s="323" t="s">
        <v>138</v>
      </c>
      <c r="C685" s="319">
        <v>19</v>
      </c>
      <c r="D685" s="308" t="s">
        <v>22</v>
      </c>
      <c r="E685" s="282">
        <v>2377151.2400000002</v>
      </c>
      <c r="F685" s="297"/>
    </row>
    <row r="686" spans="1:6" ht="16.95" customHeight="1" x14ac:dyDescent="0.25">
      <c r="A686" s="329"/>
      <c r="B686" s="324"/>
      <c r="C686" s="322"/>
      <c r="D686" s="308" t="s">
        <v>17</v>
      </c>
      <c r="E686" s="282">
        <v>124000</v>
      </c>
      <c r="F686" s="297"/>
    </row>
    <row r="687" spans="1:6" ht="16.95" customHeight="1" x14ac:dyDescent="0.25">
      <c r="A687" s="329"/>
      <c r="B687" s="325"/>
      <c r="C687" s="320"/>
      <c r="D687" s="308" t="s">
        <v>18</v>
      </c>
      <c r="E687" s="282">
        <v>2501151.2400000002</v>
      </c>
      <c r="F687" s="297"/>
    </row>
    <row r="688" spans="1:6" ht="16.95" customHeight="1" x14ac:dyDescent="0.25">
      <c r="A688" s="329">
        <v>200</v>
      </c>
      <c r="B688" s="321" t="s">
        <v>138</v>
      </c>
      <c r="C688" s="330">
        <v>21</v>
      </c>
      <c r="D688" s="308" t="s">
        <v>22</v>
      </c>
      <c r="E688" s="282">
        <v>2377151.2400000002</v>
      </c>
      <c r="F688" s="297"/>
    </row>
    <row r="689" spans="1:6" ht="16.95" customHeight="1" x14ac:dyDescent="0.25">
      <c r="A689" s="329"/>
      <c r="B689" s="321"/>
      <c r="C689" s="330"/>
      <c r="D689" s="308" t="s">
        <v>24</v>
      </c>
      <c r="E689" s="280">
        <v>14911858.550000001</v>
      </c>
      <c r="F689" s="297"/>
    </row>
    <row r="690" spans="1:6" ht="16.95" customHeight="1" x14ac:dyDescent="0.25">
      <c r="A690" s="329"/>
      <c r="B690" s="321"/>
      <c r="C690" s="330"/>
      <c r="D690" s="308" t="s">
        <v>31</v>
      </c>
      <c r="E690" s="280">
        <v>13138817.699999999</v>
      </c>
      <c r="F690" s="297"/>
    </row>
    <row r="691" spans="1:6" ht="16.95" customHeight="1" x14ac:dyDescent="0.25">
      <c r="A691" s="329"/>
      <c r="B691" s="321"/>
      <c r="C691" s="330"/>
      <c r="D691" s="308" t="s">
        <v>17</v>
      </c>
      <c r="E691" s="280">
        <v>2058529.4</v>
      </c>
      <c r="F691" s="297"/>
    </row>
    <row r="692" spans="1:6" ht="19.8" customHeight="1" x14ac:dyDescent="0.25">
      <c r="A692" s="298">
        <v>1</v>
      </c>
      <c r="B692" s="287">
        <v>2</v>
      </c>
      <c r="C692" s="287">
        <v>3</v>
      </c>
      <c r="D692" s="298">
        <v>4</v>
      </c>
      <c r="E692" s="299">
        <v>5</v>
      </c>
      <c r="F692" s="297"/>
    </row>
    <row r="693" spans="1:6" ht="16.95" customHeight="1" x14ac:dyDescent="0.25">
      <c r="A693" s="301"/>
      <c r="B693" s="288"/>
      <c r="C693" s="288"/>
      <c r="D693" s="308" t="s">
        <v>18</v>
      </c>
      <c r="E693" s="282">
        <v>32486356.889999997</v>
      </c>
      <c r="F693" s="297"/>
    </row>
    <row r="694" spans="1:6" ht="16.95" customHeight="1" x14ac:dyDescent="0.25">
      <c r="A694" s="329">
        <v>201</v>
      </c>
      <c r="B694" s="323" t="s">
        <v>138</v>
      </c>
      <c r="C694" s="319">
        <v>23</v>
      </c>
      <c r="D694" s="308" t="s">
        <v>22</v>
      </c>
      <c r="E694" s="282">
        <v>2377151.2400000002</v>
      </c>
      <c r="F694" s="297"/>
    </row>
    <row r="695" spans="1:6" ht="16.95" customHeight="1" x14ac:dyDescent="0.25">
      <c r="A695" s="329"/>
      <c r="B695" s="324"/>
      <c r="C695" s="322"/>
      <c r="D695" s="308" t="s">
        <v>17</v>
      </c>
      <c r="E695" s="282">
        <v>124000</v>
      </c>
      <c r="F695" s="297"/>
    </row>
    <row r="696" spans="1:6" ht="16.95" customHeight="1" x14ac:dyDescent="0.25">
      <c r="A696" s="329"/>
      <c r="B696" s="325"/>
      <c r="C696" s="320"/>
      <c r="D696" s="308" t="s">
        <v>18</v>
      </c>
      <c r="E696" s="282">
        <v>2501151.2400000002</v>
      </c>
      <c r="F696" s="297"/>
    </row>
    <row r="697" spans="1:6" ht="16.95" customHeight="1" x14ac:dyDescent="0.25">
      <c r="A697" s="326">
        <v>202</v>
      </c>
      <c r="B697" s="323" t="s">
        <v>138</v>
      </c>
      <c r="C697" s="319">
        <v>24</v>
      </c>
      <c r="D697" s="308" t="s">
        <v>24</v>
      </c>
      <c r="E697" s="282">
        <v>14916020.07</v>
      </c>
      <c r="F697" s="297"/>
    </row>
    <row r="698" spans="1:6" ht="16.95" customHeight="1" x14ac:dyDescent="0.25">
      <c r="A698" s="327"/>
      <c r="B698" s="324"/>
      <c r="C698" s="322"/>
      <c r="D698" s="308" t="s">
        <v>31</v>
      </c>
      <c r="E698" s="282">
        <v>13142484.41</v>
      </c>
      <c r="F698" s="297"/>
    </row>
    <row r="699" spans="1:6" ht="16.95" customHeight="1" x14ac:dyDescent="0.25">
      <c r="A699" s="327"/>
      <c r="B699" s="324"/>
      <c r="C699" s="322"/>
      <c r="D699" s="308" t="s">
        <v>17</v>
      </c>
      <c r="E699" s="282">
        <v>1935069.28</v>
      </c>
      <c r="F699" s="297"/>
    </row>
    <row r="700" spans="1:6" ht="16.95" customHeight="1" x14ac:dyDescent="0.25">
      <c r="A700" s="328"/>
      <c r="B700" s="325"/>
      <c r="C700" s="320"/>
      <c r="D700" s="308" t="s">
        <v>18</v>
      </c>
      <c r="E700" s="282">
        <v>29993573.760000002</v>
      </c>
      <c r="F700" s="297"/>
    </row>
    <row r="701" spans="1:6" ht="16.95" customHeight="1" x14ac:dyDescent="0.25">
      <c r="A701" s="329">
        <v>203</v>
      </c>
      <c r="B701" s="323" t="s">
        <v>138</v>
      </c>
      <c r="C701" s="319">
        <v>25</v>
      </c>
      <c r="D701" s="308" t="s">
        <v>22</v>
      </c>
      <c r="E701" s="282">
        <v>2377151.2400000002</v>
      </c>
      <c r="F701" s="297"/>
    </row>
    <row r="702" spans="1:6" ht="16.95" customHeight="1" x14ac:dyDescent="0.25">
      <c r="A702" s="329"/>
      <c r="B702" s="324"/>
      <c r="C702" s="322"/>
      <c r="D702" s="308" t="s">
        <v>17</v>
      </c>
      <c r="E702" s="282">
        <v>124000</v>
      </c>
      <c r="F702" s="297"/>
    </row>
    <row r="703" spans="1:6" ht="16.95" customHeight="1" x14ac:dyDescent="0.25">
      <c r="A703" s="329"/>
      <c r="B703" s="325"/>
      <c r="C703" s="320"/>
      <c r="D703" s="308" t="s">
        <v>18</v>
      </c>
      <c r="E703" s="282">
        <v>2501151.2400000002</v>
      </c>
      <c r="F703" s="297"/>
    </row>
    <row r="704" spans="1:6" ht="16.95" customHeight="1" x14ac:dyDescent="0.25">
      <c r="A704" s="326">
        <v>204</v>
      </c>
      <c r="B704" s="323" t="s">
        <v>138</v>
      </c>
      <c r="C704" s="319">
        <v>27</v>
      </c>
      <c r="D704" s="308" t="s">
        <v>22</v>
      </c>
      <c r="E704" s="282">
        <v>2377151.2400000002</v>
      </c>
      <c r="F704" s="297"/>
    </row>
    <row r="705" spans="1:6" ht="16.95" customHeight="1" x14ac:dyDescent="0.25">
      <c r="A705" s="327"/>
      <c r="B705" s="324"/>
      <c r="C705" s="322"/>
      <c r="D705" s="308" t="s">
        <v>17</v>
      </c>
      <c r="E705" s="282">
        <v>124000</v>
      </c>
      <c r="F705" s="297"/>
    </row>
    <row r="706" spans="1:6" ht="16.95" customHeight="1" x14ac:dyDescent="0.25">
      <c r="A706" s="328"/>
      <c r="B706" s="325"/>
      <c r="C706" s="320"/>
      <c r="D706" s="308" t="s">
        <v>18</v>
      </c>
      <c r="E706" s="282">
        <v>2501151.2400000002</v>
      </c>
      <c r="F706" s="297"/>
    </row>
    <row r="707" spans="1:6" ht="16.95" customHeight="1" x14ac:dyDescent="0.25">
      <c r="A707" s="329">
        <v>205</v>
      </c>
      <c r="B707" s="323" t="s">
        <v>138</v>
      </c>
      <c r="C707" s="319">
        <v>29</v>
      </c>
      <c r="D707" s="308" t="s">
        <v>22</v>
      </c>
      <c r="E707" s="282">
        <v>2377151.2400000002</v>
      </c>
      <c r="F707" s="297"/>
    </row>
    <row r="708" spans="1:6" ht="16.95" customHeight="1" x14ac:dyDescent="0.25">
      <c r="A708" s="329"/>
      <c r="B708" s="324"/>
      <c r="C708" s="322"/>
      <c r="D708" s="308" t="s">
        <v>17</v>
      </c>
      <c r="E708" s="282">
        <v>124000</v>
      </c>
      <c r="F708" s="297"/>
    </row>
    <row r="709" spans="1:6" ht="16.95" customHeight="1" x14ac:dyDescent="0.25">
      <c r="A709" s="329"/>
      <c r="B709" s="325"/>
      <c r="C709" s="320"/>
      <c r="D709" s="308" t="s">
        <v>18</v>
      </c>
      <c r="E709" s="282">
        <v>2501151.2400000002</v>
      </c>
      <c r="F709" s="297"/>
    </row>
    <row r="710" spans="1:6" ht="16.95" customHeight="1" x14ac:dyDescent="0.25">
      <c r="A710" s="329">
        <v>206</v>
      </c>
      <c r="B710" s="323" t="s">
        <v>138</v>
      </c>
      <c r="C710" s="319" t="s">
        <v>139</v>
      </c>
      <c r="D710" s="308" t="s">
        <v>22</v>
      </c>
      <c r="E710" s="282">
        <v>2377151.2400000002</v>
      </c>
      <c r="F710" s="297"/>
    </row>
    <row r="711" spans="1:6" ht="16.95" customHeight="1" x14ac:dyDescent="0.25">
      <c r="A711" s="329"/>
      <c r="B711" s="324"/>
      <c r="C711" s="322"/>
      <c r="D711" s="308" t="s">
        <v>17</v>
      </c>
      <c r="E711" s="282">
        <v>124000</v>
      </c>
      <c r="F711" s="297"/>
    </row>
    <row r="712" spans="1:6" ht="16.95" customHeight="1" x14ac:dyDescent="0.25">
      <c r="A712" s="329"/>
      <c r="B712" s="325"/>
      <c r="C712" s="320"/>
      <c r="D712" s="308" t="s">
        <v>18</v>
      </c>
      <c r="E712" s="282">
        <v>2501151.2400000002</v>
      </c>
      <c r="F712" s="297"/>
    </row>
    <row r="713" spans="1:6" ht="16.95" customHeight="1" x14ac:dyDescent="0.25">
      <c r="A713" s="329">
        <v>207</v>
      </c>
      <c r="B713" s="323" t="s">
        <v>138</v>
      </c>
      <c r="C713" s="319" t="s">
        <v>140</v>
      </c>
      <c r="D713" s="308" t="s">
        <v>22</v>
      </c>
      <c r="E713" s="282">
        <v>2377151.2400000002</v>
      </c>
      <c r="F713" s="297"/>
    </row>
    <row r="714" spans="1:6" ht="16.95" customHeight="1" x14ac:dyDescent="0.25">
      <c r="A714" s="329"/>
      <c r="B714" s="324"/>
      <c r="C714" s="322"/>
      <c r="D714" s="308" t="s">
        <v>17</v>
      </c>
      <c r="E714" s="282">
        <v>124000</v>
      </c>
      <c r="F714" s="297"/>
    </row>
    <row r="715" spans="1:6" ht="16.95" customHeight="1" x14ac:dyDescent="0.25">
      <c r="A715" s="329"/>
      <c r="B715" s="325"/>
      <c r="C715" s="320"/>
      <c r="D715" s="308" t="s">
        <v>18</v>
      </c>
      <c r="E715" s="282">
        <v>2501151.2400000002</v>
      </c>
      <c r="F715" s="297"/>
    </row>
    <row r="716" spans="1:6" ht="16.95" customHeight="1" x14ac:dyDescent="0.25">
      <c r="A716" s="329">
        <v>208</v>
      </c>
      <c r="B716" s="323" t="s">
        <v>138</v>
      </c>
      <c r="C716" s="319" t="s">
        <v>141</v>
      </c>
      <c r="D716" s="308" t="s">
        <v>22</v>
      </c>
      <c r="E716" s="282">
        <v>2377151.2400000002</v>
      </c>
      <c r="F716" s="297"/>
    </row>
    <row r="717" spans="1:6" ht="16.95" customHeight="1" x14ac:dyDescent="0.25">
      <c r="A717" s="329"/>
      <c r="B717" s="324"/>
      <c r="C717" s="322"/>
      <c r="D717" s="308" t="s">
        <v>17</v>
      </c>
      <c r="E717" s="282">
        <v>124000</v>
      </c>
      <c r="F717" s="297"/>
    </row>
    <row r="718" spans="1:6" ht="16.95" customHeight="1" x14ac:dyDescent="0.25">
      <c r="A718" s="329"/>
      <c r="B718" s="325"/>
      <c r="C718" s="320"/>
      <c r="D718" s="308" t="s">
        <v>18</v>
      </c>
      <c r="E718" s="282">
        <v>2501151.2400000002</v>
      </c>
      <c r="F718" s="297"/>
    </row>
    <row r="719" spans="1:6" ht="16.95" customHeight="1" x14ac:dyDescent="0.25">
      <c r="A719" s="329">
        <v>209</v>
      </c>
      <c r="B719" s="321" t="s">
        <v>138</v>
      </c>
      <c r="C719" s="330">
        <v>33</v>
      </c>
      <c r="D719" s="308" t="s">
        <v>22</v>
      </c>
      <c r="E719" s="282">
        <v>2377151.2400000002</v>
      </c>
      <c r="F719" s="297"/>
    </row>
    <row r="720" spans="1:6" ht="16.95" customHeight="1" x14ac:dyDescent="0.25">
      <c r="A720" s="329"/>
      <c r="B720" s="321"/>
      <c r="C720" s="330"/>
      <c r="D720" s="308" t="s">
        <v>17</v>
      </c>
      <c r="E720" s="282">
        <v>124000</v>
      </c>
      <c r="F720" s="297"/>
    </row>
    <row r="721" spans="1:6" ht="17.399999999999999" customHeight="1" x14ac:dyDescent="0.25">
      <c r="A721" s="298">
        <v>1</v>
      </c>
      <c r="B721" s="287">
        <v>2</v>
      </c>
      <c r="C721" s="287">
        <v>3</v>
      </c>
      <c r="D721" s="298">
        <v>4</v>
      </c>
      <c r="E721" s="299">
        <v>5</v>
      </c>
      <c r="F721" s="297"/>
    </row>
    <row r="722" spans="1:6" ht="18.600000000000001" customHeight="1" x14ac:dyDescent="0.25">
      <c r="A722" s="301"/>
      <c r="B722" s="288"/>
      <c r="C722" s="288"/>
      <c r="D722" s="308" t="s">
        <v>18</v>
      </c>
      <c r="E722" s="282">
        <v>2501151.2400000002</v>
      </c>
      <c r="F722" s="297"/>
    </row>
    <row r="723" spans="1:6" ht="16.95" customHeight="1" x14ac:dyDescent="0.25">
      <c r="A723" s="329">
        <v>210</v>
      </c>
      <c r="B723" s="323" t="s">
        <v>138</v>
      </c>
      <c r="C723" s="319" t="s">
        <v>122</v>
      </c>
      <c r="D723" s="308" t="s">
        <v>22</v>
      </c>
      <c r="E723" s="282">
        <v>2377151.2400000002</v>
      </c>
      <c r="F723" s="297"/>
    </row>
    <row r="724" spans="1:6" ht="16.95" customHeight="1" x14ac:dyDescent="0.25">
      <c r="A724" s="329"/>
      <c r="B724" s="324"/>
      <c r="C724" s="322"/>
      <c r="D724" s="308" t="s">
        <v>17</v>
      </c>
      <c r="E724" s="282">
        <v>124000</v>
      </c>
      <c r="F724" s="297"/>
    </row>
    <row r="725" spans="1:6" ht="16.95" customHeight="1" x14ac:dyDescent="0.25">
      <c r="A725" s="329"/>
      <c r="B725" s="325"/>
      <c r="C725" s="320"/>
      <c r="D725" s="308" t="s">
        <v>18</v>
      </c>
      <c r="E725" s="282">
        <v>2501151.2400000002</v>
      </c>
      <c r="F725" s="297"/>
    </row>
    <row r="726" spans="1:6" ht="16.95" customHeight="1" x14ac:dyDescent="0.25">
      <c r="A726" s="329">
        <v>211</v>
      </c>
      <c r="B726" s="323" t="s">
        <v>138</v>
      </c>
      <c r="C726" s="319" t="s">
        <v>123</v>
      </c>
      <c r="D726" s="308" t="s">
        <v>22</v>
      </c>
      <c r="E726" s="282">
        <v>2377151.2400000002</v>
      </c>
      <c r="F726" s="297"/>
    </row>
    <row r="727" spans="1:6" ht="16.95" customHeight="1" x14ac:dyDescent="0.25">
      <c r="A727" s="329"/>
      <c r="B727" s="324"/>
      <c r="C727" s="322"/>
      <c r="D727" s="308" t="s">
        <v>17</v>
      </c>
      <c r="E727" s="282">
        <v>124000</v>
      </c>
      <c r="F727" s="297"/>
    </row>
    <row r="728" spans="1:6" ht="16.95" customHeight="1" x14ac:dyDescent="0.25">
      <c r="A728" s="329"/>
      <c r="B728" s="325"/>
      <c r="C728" s="320"/>
      <c r="D728" s="308" t="s">
        <v>18</v>
      </c>
      <c r="E728" s="282">
        <v>2501151.2400000002</v>
      </c>
      <c r="F728" s="297"/>
    </row>
    <row r="729" spans="1:6" ht="16.95" customHeight="1" x14ac:dyDescent="0.25">
      <c r="A729" s="329">
        <v>212</v>
      </c>
      <c r="B729" s="323" t="s">
        <v>138</v>
      </c>
      <c r="C729" s="319" t="s">
        <v>124</v>
      </c>
      <c r="D729" s="308" t="s">
        <v>22</v>
      </c>
      <c r="E729" s="282">
        <v>4754302.4800000004</v>
      </c>
      <c r="F729" s="297"/>
    </row>
    <row r="730" spans="1:6" ht="16.95" customHeight="1" x14ac:dyDescent="0.25">
      <c r="A730" s="329"/>
      <c r="B730" s="324"/>
      <c r="C730" s="322"/>
      <c r="D730" s="308" t="s">
        <v>17</v>
      </c>
      <c r="E730" s="282">
        <v>248000</v>
      </c>
      <c r="F730" s="297"/>
    </row>
    <row r="731" spans="1:6" ht="16.95" customHeight="1" x14ac:dyDescent="0.25">
      <c r="A731" s="329"/>
      <c r="B731" s="325"/>
      <c r="C731" s="320"/>
      <c r="D731" s="308" t="s">
        <v>18</v>
      </c>
      <c r="E731" s="282">
        <v>5002302.4800000004</v>
      </c>
      <c r="F731" s="297"/>
    </row>
    <row r="732" spans="1:6" ht="16.95" customHeight="1" x14ac:dyDescent="0.25">
      <c r="A732" s="326">
        <v>213</v>
      </c>
      <c r="B732" s="323" t="s">
        <v>138</v>
      </c>
      <c r="C732" s="319" t="s">
        <v>142</v>
      </c>
      <c r="D732" s="308" t="s">
        <v>26</v>
      </c>
      <c r="E732" s="300">
        <v>1706659.7</v>
      </c>
      <c r="F732" s="297"/>
    </row>
    <row r="733" spans="1:6" ht="16.95" customHeight="1" x14ac:dyDescent="0.25">
      <c r="A733" s="327"/>
      <c r="B733" s="324"/>
      <c r="C733" s="322"/>
      <c r="D733" s="308" t="s">
        <v>27</v>
      </c>
      <c r="E733" s="300">
        <v>9276640.5199999996</v>
      </c>
      <c r="F733" s="297"/>
    </row>
    <row r="734" spans="1:6" ht="16.95" customHeight="1" x14ac:dyDescent="0.25">
      <c r="A734" s="327"/>
      <c r="B734" s="324"/>
      <c r="C734" s="322"/>
      <c r="D734" s="308" t="s">
        <v>28</v>
      </c>
      <c r="E734" s="300">
        <v>1800681.76</v>
      </c>
      <c r="F734" s="297"/>
    </row>
    <row r="735" spans="1:6" ht="16.95" customHeight="1" x14ac:dyDescent="0.25">
      <c r="A735" s="327"/>
      <c r="B735" s="324"/>
      <c r="C735" s="322"/>
      <c r="D735" s="308" t="s">
        <v>29</v>
      </c>
      <c r="E735" s="300">
        <v>1781018.83</v>
      </c>
      <c r="F735" s="297"/>
    </row>
    <row r="736" spans="1:6" ht="16.95" customHeight="1" x14ac:dyDescent="0.25">
      <c r="A736" s="327"/>
      <c r="B736" s="324"/>
      <c r="C736" s="322"/>
      <c r="D736" s="308" t="s">
        <v>30</v>
      </c>
      <c r="E736" s="300">
        <v>1785034.5</v>
      </c>
      <c r="F736" s="297"/>
    </row>
    <row r="737" spans="1:6" ht="16.95" customHeight="1" x14ac:dyDescent="0.25">
      <c r="A737" s="327"/>
      <c r="B737" s="324"/>
      <c r="C737" s="322"/>
      <c r="D737" s="308" t="s">
        <v>24</v>
      </c>
      <c r="E737" s="300">
        <v>9740630.4000000004</v>
      </c>
      <c r="F737" s="297"/>
    </row>
    <row r="738" spans="1:6" ht="16.95" customHeight="1" x14ac:dyDescent="0.25">
      <c r="A738" s="327"/>
      <c r="B738" s="324"/>
      <c r="C738" s="322"/>
      <c r="D738" s="308" t="s">
        <v>32</v>
      </c>
      <c r="E738" s="300">
        <v>1328755</v>
      </c>
      <c r="F738" s="297"/>
    </row>
    <row r="739" spans="1:6" ht="16.95" customHeight="1" x14ac:dyDescent="0.25">
      <c r="A739" s="328"/>
      <c r="B739" s="325"/>
      <c r="C739" s="320"/>
      <c r="D739" s="308" t="s">
        <v>18</v>
      </c>
      <c r="E739" s="300">
        <v>27419420.710000001</v>
      </c>
      <c r="F739" s="297"/>
    </row>
    <row r="740" spans="1:6" ht="16.95" customHeight="1" x14ac:dyDescent="0.25">
      <c r="A740" s="329">
        <v>214</v>
      </c>
      <c r="B740" s="321" t="s">
        <v>143</v>
      </c>
      <c r="C740" s="330" t="s">
        <v>144</v>
      </c>
      <c r="D740" s="308" t="s">
        <v>24</v>
      </c>
      <c r="E740" s="300">
        <v>8432162.1600000001</v>
      </c>
      <c r="F740" s="297"/>
    </row>
    <row r="741" spans="1:6" ht="16.95" customHeight="1" x14ac:dyDescent="0.25">
      <c r="A741" s="329"/>
      <c r="B741" s="321"/>
      <c r="C741" s="330"/>
      <c r="D741" s="308" t="s">
        <v>32</v>
      </c>
      <c r="E741" s="300">
        <v>939358.67</v>
      </c>
      <c r="F741" s="297"/>
    </row>
    <row r="742" spans="1:6" ht="16.95" customHeight="1" x14ac:dyDescent="0.25">
      <c r="A742" s="329"/>
      <c r="B742" s="321"/>
      <c r="C742" s="330"/>
      <c r="D742" s="308" t="s">
        <v>18</v>
      </c>
      <c r="E742" s="300">
        <v>9371520.8300000001</v>
      </c>
      <c r="F742" s="297"/>
    </row>
    <row r="743" spans="1:6" ht="16.95" customHeight="1" x14ac:dyDescent="0.25">
      <c r="A743" s="329">
        <v>215</v>
      </c>
      <c r="B743" s="321" t="s">
        <v>145</v>
      </c>
      <c r="C743" s="330">
        <v>17</v>
      </c>
      <c r="D743" s="308" t="s">
        <v>26</v>
      </c>
      <c r="E743" s="300">
        <v>1252442.95</v>
      </c>
      <c r="F743" s="297"/>
    </row>
    <row r="744" spans="1:6" ht="16.95" customHeight="1" x14ac:dyDescent="0.25">
      <c r="A744" s="329"/>
      <c r="B744" s="321"/>
      <c r="C744" s="330"/>
      <c r="D744" s="308" t="s">
        <v>27</v>
      </c>
      <c r="E744" s="300">
        <v>8411496.1199999992</v>
      </c>
      <c r="F744" s="297"/>
    </row>
    <row r="745" spans="1:6" ht="16.95" customHeight="1" x14ac:dyDescent="0.25">
      <c r="A745" s="329"/>
      <c r="B745" s="321"/>
      <c r="C745" s="330"/>
      <c r="D745" s="308" t="s">
        <v>28</v>
      </c>
      <c r="E745" s="300">
        <v>1619900.98</v>
      </c>
      <c r="F745" s="297"/>
    </row>
    <row r="746" spans="1:6" ht="16.95" customHeight="1" x14ac:dyDescent="0.25">
      <c r="A746" s="329"/>
      <c r="B746" s="321"/>
      <c r="C746" s="330"/>
      <c r="D746" s="308" t="s">
        <v>29</v>
      </c>
      <c r="E746" s="300">
        <v>1722217.24</v>
      </c>
      <c r="F746" s="297"/>
    </row>
    <row r="747" spans="1:6" ht="16.95" customHeight="1" x14ac:dyDescent="0.25">
      <c r="A747" s="329"/>
      <c r="B747" s="321"/>
      <c r="C747" s="330"/>
      <c r="D747" s="308" t="s">
        <v>146</v>
      </c>
      <c r="E747" s="300">
        <v>1215410.51</v>
      </c>
      <c r="F747" s="297"/>
    </row>
    <row r="748" spans="1:6" ht="16.95" customHeight="1" x14ac:dyDescent="0.25">
      <c r="A748" s="329"/>
      <c r="B748" s="321"/>
      <c r="C748" s="330"/>
      <c r="D748" s="308" t="s">
        <v>30</v>
      </c>
      <c r="E748" s="300">
        <v>1760073.14</v>
      </c>
      <c r="F748" s="297"/>
    </row>
    <row r="749" spans="1:6" ht="16.95" customHeight="1" x14ac:dyDescent="0.25">
      <c r="A749" s="329"/>
      <c r="B749" s="321"/>
      <c r="C749" s="330"/>
      <c r="D749" s="308" t="s">
        <v>17</v>
      </c>
      <c r="E749" s="300">
        <v>679427.78</v>
      </c>
      <c r="F749" s="297"/>
    </row>
    <row r="750" spans="1:6" ht="18" customHeight="1" x14ac:dyDescent="0.25">
      <c r="A750" s="298">
        <v>1</v>
      </c>
      <c r="B750" s="287">
        <v>2</v>
      </c>
      <c r="C750" s="287">
        <v>3</v>
      </c>
      <c r="D750" s="298">
        <v>4</v>
      </c>
      <c r="E750" s="299">
        <v>5</v>
      </c>
      <c r="F750" s="297"/>
    </row>
    <row r="751" spans="1:6" ht="18" customHeight="1" x14ac:dyDescent="0.25">
      <c r="A751" s="301"/>
      <c r="B751" s="288"/>
      <c r="C751" s="288"/>
      <c r="D751" s="308" t="s">
        <v>18</v>
      </c>
      <c r="E751" s="300">
        <v>16660968.720000001</v>
      </c>
      <c r="F751" s="297"/>
    </row>
    <row r="752" spans="1:6" ht="18" customHeight="1" x14ac:dyDescent="0.25">
      <c r="A752" s="329">
        <v>216</v>
      </c>
      <c r="B752" s="321" t="s">
        <v>145</v>
      </c>
      <c r="C752" s="330">
        <v>47</v>
      </c>
      <c r="D752" s="308" t="s">
        <v>24</v>
      </c>
      <c r="E752" s="300">
        <v>6807443.0899999999</v>
      </c>
      <c r="F752" s="297"/>
    </row>
    <row r="753" spans="1:6" ht="18" customHeight="1" x14ac:dyDescent="0.25">
      <c r="A753" s="329"/>
      <c r="B753" s="321"/>
      <c r="C753" s="330"/>
      <c r="D753" s="308" t="s">
        <v>31</v>
      </c>
      <c r="E753" s="300">
        <v>9207396.9000000004</v>
      </c>
      <c r="F753" s="297"/>
    </row>
    <row r="754" spans="1:6" ht="18" customHeight="1" x14ac:dyDescent="0.25">
      <c r="A754" s="329"/>
      <c r="B754" s="321"/>
      <c r="C754" s="330"/>
      <c r="D754" s="308" t="s">
        <v>17</v>
      </c>
      <c r="E754" s="300">
        <v>1094734.04</v>
      </c>
      <c r="F754" s="297"/>
    </row>
    <row r="755" spans="1:6" ht="18" customHeight="1" x14ac:dyDescent="0.25">
      <c r="A755" s="329"/>
      <c r="B755" s="321"/>
      <c r="C755" s="330"/>
      <c r="D755" s="308" t="s">
        <v>18</v>
      </c>
      <c r="E755" s="300">
        <v>17109574.030000001</v>
      </c>
      <c r="F755" s="297"/>
    </row>
    <row r="756" spans="1:6" ht="18" customHeight="1" x14ac:dyDescent="0.25">
      <c r="A756" s="329">
        <v>217</v>
      </c>
      <c r="B756" s="321" t="s">
        <v>55</v>
      </c>
      <c r="C756" s="330">
        <v>27</v>
      </c>
      <c r="D756" s="308" t="s">
        <v>22</v>
      </c>
      <c r="E756" s="282">
        <v>2377151.2400000002</v>
      </c>
      <c r="F756" s="297"/>
    </row>
    <row r="757" spans="1:6" ht="18" customHeight="1" x14ac:dyDescent="0.25">
      <c r="A757" s="329"/>
      <c r="B757" s="321"/>
      <c r="C757" s="330"/>
      <c r="D757" s="308" t="s">
        <v>17</v>
      </c>
      <c r="E757" s="282">
        <v>124000</v>
      </c>
    </row>
    <row r="758" spans="1:6" ht="18" customHeight="1" x14ac:dyDescent="0.25">
      <c r="A758" s="329"/>
      <c r="B758" s="321"/>
      <c r="C758" s="330"/>
      <c r="D758" s="308" t="s">
        <v>18</v>
      </c>
      <c r="E758" s="282">
        <v>2501151.2400000002</v>
      </c>
    </row>
    <row r="759" spans="1:6" ht="18" customHeight="1" x14ac:dyDescent="0.25">
      <c r="A759" s="329">
        <v>218</v>
      </c>
      <c r="B759" s="321" t="s">
        <v>55</v>
      </c>
      <c r="C759" s="330">
        <v>29</v>
      </c>
      <c r="D759" s="308" t="s">
        <v>22</v>
      </c>
      <c r="E759" s="282">
        <v>2377151.2400000002</v>
      </c>
      <c r="F759" s="297"/>
    </row>
    <row r="760" spans="1:6" ht="18" customHeight="1" x14ac:dyDescent="0.25">
      <c r="A760" s="329"/>
      <c r="B760" s="321"/>
      <c r="C760" s="330"/>
      <c r="D760" s="308" t="s">
        <v>17</v>
      </c>
      <c r="E760" s="282">
        <v>124000</v>
      </c>
    </row>
    <row r="761" spans="1:6" ht="18" customHeight="1" x14ac:dyDescent="0.25">
      <c r="A761" s="329"/>
      <c r="B761" s="321"/>
      <c r="C761" s="330"/>
      <c r="D761" s="308" t="s">
        <v>18</v>
      </c>
      <c r="E761" s="282">
        <v>2501151.2400000002</v>
      </c>
    </row>
    <row r="762" spans="1:6" ht="18" customHeight="1" x14ac:dyDescent="0.25">
      <c r="A762" s="329">
        <v>219</v>
      </c>
      <c r="B762" s="321" t="s">
        <v>55</v>
      </c>
      <c r="C762" s="330">
        <v>31</v>
      </c>
      <c r="D762" s="308" t="s">
        <v>22</v>
      </c>
      <c r="E762" s="282">
        <v>2377151.2400000002</v>
      </c>
      <c r="F762" s="297"/>
    </row>
    <row r="763" spans="1:6" ht="18" customHeight="1" x14ac:dyDescent="0.25">
      <c r="A763" s="329"/>
      <c r="B763" s="321"/>
      <c r="C763" s="330"/>
      <c r="D763" s="308" t="s">
        <v>17</v>
      </c>
      <c r="E763" s="282">
        <v>124000</v>
      </c>
    </row>
    <row r="764" spans="1:6" ht="18" customHeight="1" x14ac:dyDescent="0.25">
      <c r="A764" s="329"/>
      <c r="B764" s="321"/>
      <c r="C764" s="330"/>
      <c r="D764" s="308" t="s">
        <v>18</v>
      </c>
      <c r="E764" s="282">
        <v>2501151.2400000002</v>
      </c>
    </row>
    <row r="765" spans="1:6" ht="18" customHeight="1" x14ac:dyDescent="0.25">
      <c r="A765" s="326">
        <v>220</v>
      </c>
      <c r="B765" s="323" t="s">
        <v>55</v>
      </c>
      <c r="C765" s="319">
        <v>33</v>
      </c>
      <c r="D765" s="308" t="s">
        <v>16</v>
      </c>
      <c r="E765" s="300">
        <v>1851415.78</v>
      </c>
      <c r="F765" s="297"/>
    </row>
    <row r="766" spans="1:6" ht="18" customHeight="1" x14ac:dyDescent="0.25">
      <c r="A766" s="327"/>
      <c r="B766" s="324"/>
      <c r="C766" s="322"/>
      <c r="D766" s="308" t="s">
        <v>17</v>
      </c>
      <c r="E766" s="300">
        <v>75945.039999999994</v>
      </c>
      <c r="F766" s="297"/>
    </row>
    <row r="767" spans="1:6" ht="18" customHeight="1" x14ac:dyDescent="0.25">
      <c r="A767" s="328"/>
      <c r="B767" s="325"/>
      <c r="C767" s="320"/>
      <c r="D767" s="308" t="s">
        <v>18</v>
      </c>
      <c r="E767" s="300">
        <v>1927360.82</v>
      </c>
      <c r="F767" s="297"/>
    </row>
    <row r="768" spans="1:6" ht="18" customHeight="1" x14ac:dyDescent="0.25">
      <c r="A768" s="329">
        <v>221</v>
      </c>
      <c r="B768" s="321" t="s">
        <v>148</v>
      </c>
      <c r="C768" s="330">
        <v>2</v>
      </c>
      <c r="D768" s="308" t="s">
        <v>16</v>
      </c>
      <c r="E768" s="300">
        <v>1851415.78</v>
      </c>
      <c r="F768" s="297"/>
    </row>
    <row r="769" spans="1:6" ht="18" customHeight="1" x14ac:dyDescent="0.25">
      <c r="A769" s="329"/>
      <c r="B769" s="321"/>
      <c r="C769" s="330"/>
      <c r="D769" s="308" t="s">
        <v>17</v>
      </c>
      <c r="E769" s="300">
        <v>75945.039999999994</v>
      </c>
    </row>
    <row r="770" spans="1:6" ht="18" customHeight="1" x14ac:dyDescent="0.25">
      <c r="A770" s="329"/>
      <c r="B770" s="321"/>
      <c r="C770" s="330"/>
      <c r="D770" s="308" t="s">
        <v>18</v>
      </c>
      <c r="E770" s="300">
        <v>1927360.82</v>
      </c>
    </row>
    <row r="771" spans="1:6" ht="18" customHeight="1" x14ac:dyDescent="0.25">
      <c r="A771" s="329">
        <v>222</v>
      </c>
      <c r="B771" s="321" t="s">
        <v>148</v>
      </c>
      <c r="C771" s="330">
        <v>3</v>
      </c>
      <c r="D771" s="308" t="s">
        <v>16</v>
      </c>
      <c r="E771" s="300">
        <v>3702831.57</v>
      </c>
      <c r="F771" s="297"/>
    </row>
    <row r="772" spans="1:6" ht="18" customHeight="1" x14ac:dyDescent="0.25">
      <c r="A772" s="329"/>
      <c r="B772" s="321"/>
      <c r="C772" s="330"/>
      <c r="D772" s="308" t="s">
        <v>17</v>
      </c>
      <c r="E772" s="300">
        <v>151890.07999999999</v>
      </c>
    </row>
    <row r="773" spans="1:6" ht="18" customHeight="1" x14ac:dyDescent="0.25">
      <c r="A773" s="329"/>
      <c r="B773" s="321"/>
      <c r="C773" s="330"/>
      <c r="D773" s="308" t="s">
        <v>18</v>
      </c>
      <c r="E773" s="300">
        <v>3854721.65</v>
      </c>
    </row>
    <row r="774" spans="1:6" ht="18" customHeight="1" x14ac:dyDescent="0.25">
      <c r="A774" s="329">
        <v>223</v>
      </c>
      <c r="B774" s="321" t="s">
        <v>148</v>
      </c>
      <c r="C774" s="330">
        <v>4</v>
      </c>
      <c r="D774" s="308" t="s">
        <v>16</v>
      </c>
      <c r="E774" s="300">
        <v>7405663.1399999997</v>
      </c>
      <c r="F774" s="297"/>
    </row>
    <row r="775" spans="1:6" ht="18" customHeight="1" x14ac:dyDescent="0.25">
      <c r="A775" s="329"/>
      <c r="B775" s="321"/>
      <c r="C775" s="330"/>
      <c r="D775" s="308" t="s">
        <v>17</v>
      </c>
      <c r="E775" s="300">
        <v>303780.15999999997</v>
      </c>
    </row>
    <row r="776" spans="1:6" ht="18" customHeight="1" x14ac:dyDescent="0.25">
      <c r="A776" s="329"/>
      <c r="B776" s="321"/>
      <c r="C776" s="330"/>
      <c r="D776" s="308" t="s">
        <v>18</v>
      </c>
      <c r="E776" s="300">
        <v>7709443.2999999998</v>
      </c>
    </row>
    <row r="777" spans="1:6" ht="18" customHeight="1" x14ac:dyDescent="0.25">
      <c r="A777" s="298">
        <v>224</v>
      </c>
      <c r="B777" s="286" t="s">
        <v>148</v>
      </c>
      <c r="C777" s="287">
        <v>14</v>
      </c>
      <c r="D777" s="308" t="s">
        <v>16</v>
      </c>
      <c r="E777" s="300">
        <v>9257078.9199999999</v>
      </c>
      <c r="F777" s="297"/>
    </row>
    <row r="778" spans="1:6" ht="18" customHeight="1" x14ac:dyDescent="0.25">
      <c r="A778" s="298">
        <v>1</v>
      </c>
      <c r="B778" s="287">
        <v>2</v>
      </c>
      <c r="C778" s="287">
        <v>3</v>
      </c>
      <c r="D778" s="298">
        <v>4</v>
      </c>
      <c r="E778" s="299">
        <v>5</v>
      </c>
      <c r="F778" s="297"/>
    </row>
    <row r="779" spans="1:6" ht="18" customHeight="1" x14ac:dyDescent="0.25">
      <c r="A779" s="326"/>
      <c r="B779" s="319"/>
      <c r="C779" s="319"/>
      <c r="D779" s="308" t="s">
        <v>17</v>
      </c>
      <c r="E779" s="300">
        <v>379725.2</v>
      </c>
    </row>
    <row r="780" spans="1:6" ht="18" customHeight="1" x14ac:dyDescent="0.25">
      <c r="A780" s="328"/>
      <c r="B780" s="320"/>
      <c r="C780" s="320"/>
      <c r="D780" s="308" t="s">
        <v>18</v>
      </c>
      <c r="E780" s="300">
        <v>9636804.1199999992</v>
      </c>
    </row>
    <row r="781" spans="1:6" ht="12.6" customHeight="1" x14ac:dyDescent="0.25"/>
    <row r="782" spans="1:6" ht="15" customHeight="1" x14ac:dyDescent="0.25">
      <c r="A782" s="331" t="s">
        <v>149</v>
      </c>
      <c r="B782" s="331"/>
      <c r="C782" s="331"/>
      <c r="D782" s="331"/>
    </row>
    <row r="783" spans="1:6" ht="15.6" customHeight="1" x14ac:dyDescent="0.25">
      <c r="A783" s="332" t="s">
        <v>870</v>
      </c>
      <c r="B783" s="331"/>
      <c r="C783" s="331"/>
      <c r="D783" s="331"/>
    </row>
    <row r="784" spans="1:6" ht="15.6" customHeight="1" x14ac:dyDescent="0.25">
      <c r="A784" s="332" t="s">
        <v>871</v>
      </c>
      <c r="B784" s="331"/>
      <c r="C784" s="331"/>
      <c r="D784" s="331"/>
    </row>
    <row r="785" spans="1:4" ht="54" customHeight="1" x14ac:dyDescent="0.25">
      <c r="C785" s="307"/>
      <c r="D785" s="311"/>
    </row>
    <row r="788" spans="1:4" ht="15.6" customHeight="1" x14ac:dyDescent="0.25">
      <c r="A788" s="331"/>
      <c r="B788" s="331"/>
      <c r="C788" s="331"/>
      <c r="D788" s="331"/>
    </row>
  </sheetData>
  <autoFilter ref="A15:O780"/>
  <mergeCells count="702">
    <mergeCell ref="A788:D788"/>
    <mergeCell ref="C779:C780"/>
    <mergeCell ref="B779:B780"/>
    <mergeCell ref="A779:A780"/>
    <mergeCell ref="D1:E1"/>
    <mergeCell ref="K1:O1"/>
    <mergeCell ref="D2:E2"/>
    <mergeCell ref="K2:O2"/>
    <mergeCell ref="D3:E3"/>
    <mergeCell ref="K3:O3"/>
    <mergeCell ref="D4:E4"/>
    <mergeCell ref="K4:O4"/>
    <mergeCell ref="A7:E7"/>
    <mergeCell ref="A8:E8"/>
    <mergeCell ref="A9:E9"/>
    <mergeCell ref="A10:E10"/>
    <mergeCell ref="A11:E11"/>
    <mergeCell ref="A124:A126"/>
    <mergeCell ref="A127:A129"/>
    <mergeCell ref="A130:A132"/>
    <mergeCell ref="A75:A77"/>
    <mergeCell ref="A78:A80"/>
    <mergeCell ref="A81:A83"/>
    <mergeCell ref="A85:A87"/>
    <mergeCell ref="A88:A90"/>
    <mergeCell ref="A782:D782"/>
    <mergeCell ref="A784:D784"/>
    <mergeCell ref="A13:A14"/>
    <mergeCell ref="A16:A18"/>
    <mergeCell ref="A19:A21"/>
    <mergeCell ref="A22:A24"/>
    <mergeCell ref="A27:A29"/>
    <mergeCell ref="A30:A32"/>
    <mergeCell ref="A33:A41"/>
    <mergeCell ref="A42:A43"/>
    <mergeCell ref="A44:A46"/>
    <mergeCell ref="A47:A49"/>
    <mergeCell ref="A50:A52"/>
    <mergeCell ref="A53:A54"/>
    <mergeCell ref="A57:A59"/>
    <mergeCell ref="A60:A62"/>
    <mergeCell ref="A63:A65"/>
    <mergeCell ref="A66:A68"/>
    <mergeCell ref="A69:A71"/>
    <mergeCell ref="A72:A74"/>
    <mergeCell ref="A103:A105"/>
    <mergeCell ref="A106:A108"/>
    <mergeCell ref="A109:A111"/>
    <mergeCell ref="A121:A123"/>
    <mergeCell ref="A91:A93"/>
    <mergeCell ref="A94:A96"/>
    <mergeCell ref="A97:A99"/>
    <mergeCell ref="A100:A102"/>
    <mergeCell ref="A162:A164"/>
    <mergeCell ref="A165:A167"/>
    <mergeCell ref="A168:A170"/>
    <mergeCell ref="A172:A174"/>
    <mergeCell ref="A178:A180"/>
    <mergeCell ref="A181:A183"/>
    <mergeCell ref="A184:A186"/>
    <mergeCell ref="A187:A189"/>
    <mergeCell ref="A133:A135"/>
    <mergeCell ref="A136:A138"/>
    <mergeCell ref="A139:A141"/>
    <mergeCell ref="A143:A146"/>
    <mergeCell ref="A150:A152"/>
    <mergeCell ref="A153:A155"/>
    <mergeCell ref="A156:A158"/>
    <mergeCell ref="A159:A161"/>
    <mergeCell ref="A233:A235"/>
    <mergeCell ref="A236:A238"/>
    <mergeCell ref="A239:A241"/>
    <mergeCell ref="A242:A244"/>
    <mergeCell ref="A245:A247"/>
    <mergeCell ref="A251:A253"/>
    <mergeCell ref="A254:A256"/>
    <mergeCell ref="A190:A192"/>
    <mergeCell ref="A193:A195"/>
    <mergeCell ref="A196:A198"/>
    <mergeCell ref="A203:A206"/>
    <mergeCell ref="A207:A210"/>
    <mergeCell ref="A223:A225"/>
    <mergeCell ref="A226:A228"/>
    <mergeCell ref="A217:A219"/>
    <mergeCell ref="A220:A222"/>
    <mergeCell ref="A248:A250"/>
    <mergeCell ref="A259:A260"/>
    <mergeCell ref="A264:A266"/>
    <mergeCell ref="A285:A286"/>
    <mergeCell ref="A292:A294"/>
    <mergeCell ref="A346:A348"/>
    <mergeCell ref="A341:A344"/>
    <mergeCell ref="A375:A376"/>
    <mergeCell ref="A289:A291"/>
    <mergeCell ref="A295:A297"/>
    <mergeCell ref="A298:A300"/>
    <mergeCell ref="A301:A303"/>
    <mergeCell ref="A307:A309"/>
    <mergeCell ref="A310:A312"/>
    <mergeCell ref="A261:A263"/>
    <mergeCell ref="A267:A269"/>
    <mergeCell ref="A270:A272"/>
    <mergeCell ref="A273:A275"/>
    <mergeCell ref="A276:A278"/>
    <mergeCell ref="A279:A281"/>
    <mergeCell ref="A282:A284"/>
    <mergeCell ref="A313:A315"/>
    <mergeCell ref="A317:A319"/>
    <mergeCell ref="A320:A322"/>
    <mergeCell ref="A323:A325"/>
    <mergeCell ref="A326:A328"/>
    <mergeCell ref="A329:A331"/>
    <mergeCell ref="A335:A337"/>
    <mergeCell ref="A338:A340"/>
    <mergeCell ref="A332:A334"/>
    <mergeCell ref="A349:A351"/>
    <mergeCell ref="A352:A354"/>
    <mergeCell ref="A355:A357"/>
    <mergeCell ref="A358:A360"/>
    <mergeCell ref="A364:A366"/>
    <mergeCell ref="A367:A369"/>
    <mergeCell ref="A370:A372"/>
    <mergeCell ref="A361:A363"/>
    <mergeCell ref="A377:A379"/>
    <mergeCell ref="A383:A385"/>
    <mergeCell ref="A386:A388"/>
    <mergeCell ref="A389:A391"/>
    <mergeCell ref="A392:A394"/>
    <mergeCell ref="A395:A397"/>
    <mergeCell ref="A398:A400"/>
    <mergeCell ref="A380:A382"/>
    <mergeCell ref="A401:A402"/>
    <mergeCell ref="A404:A406"/>
    <mergeCell ref="A410:A412"/>
    <mergeCell ref="A413:A415"/>
    <mergeCell ref="A416:A418"/>
    <mergeCell ref="A419:A425"/>
    <mergeCell ref="A407:A409"/>
    <mergeCell ref="A426:A428"/>
    <mergeCell ref="A433:A435"/>
    <mergeCell ref="A436:A439"/>
    <mergeCell ref="A440:A443"/>
    <mergeCell ref="A444:A446"/>
    <mergeCell ref="A447:A450"/>
    <mergeCell ref="A451:A453"/>
    <mergeCell ref="A454:A455"/>
    <mergeCell ref="A429:A431"/>
    <mergeCell ref="A456:A458"/>
    <mergeCell ref="A464:A466"/>
    <mergeCell ref="A467:A469"/>
    <mergeCell ref="A470:A472"/>
    <mergeCell ref="A473:A475"/>
    <mergeCell ref="A476:A478"/>
    <mergeCell ref="A479:A481"/>
    <mergeCell ref="A482:A484"/>
    <mergeCell ref="A459:A460"/>
    <mergeCell ref="A462:A463"/>
    <mergeCell ref="A494:A496"/>
    <mergeCell ref="A497:A499"/>
    <mergeCell ref="A500:A502"/>
    <mergeCell ref="A503:A507"/>
    <mergeCell ref="A508:A513"/>
    <mergeCell ref="A521:A523"/>
    <mergeCell ref="A514:A516"/>
    <mergeCell ref="A491:A493"/>
    <mergeCell ref="A485:A489"/>
    <mergeCell ref="A517:A518"/>
    <mergeCell ref="A524:A526"/>
    <mergeCell ref="A527:A529"/>
    <mergeCell ref="A530:A532"/>
    <mergeCell ref="A533:A535"/>
    <mergeCell ref="A536:A538"/>
    <mergeCell ref="A539:A541"/>
    <mergeCell ref="A549:A551"/>
    <mergeCell ref="A542:A544"/>
    <mergeCell ref="A545:A547"/>
    <mergeCell ref="A559:A561"/>
    <mergeCell ref="A562:A564"/>
    <mergeCell ref="A565:A567"/>
    <mergeCell ref="A552:A555"/>
    <mergeCell ref="A556:A558"/>
    <mergeCell ref="A580:A582"/>
    <mergeCell ref="A583:A585"/>
    <mergeCell ref="A577:A579"/>
    <mergeCell ref="A568:A575"/>
    <mergeCell ref="A586:A588"/>
    <mergeCell ref="A589:A591"/>
    <mergeCell ref="A592:A594"/>
    <mergeCell ref="A595:A597"/>
    <mergeCell ref="A598:A601"/>
    <mergeCell ref="A607:A610"/>
    <mergeCell ref="A611:A614"/>
    <mergeCell ref="A615:A618"/>
    <mergeCell ref="A602:A604"/>
    <mergeCell ref="A619:A622"/>
    <mergeCell ref="A623:A625"/>
    <mergeCell ref="A626:A628"/>
    <mergeCell ref="A629:A631"/>
    <mergeCell ref="A636:A638"/>
    <mergeCell ref="A639:A641"/>
    <mergeCell ref="A642:A643"/>
    <mergeCell ref="A644:A646"/>
    <mergeCell ref="A632:A633"/>
    <mergeCell ref="A685:A687"/>
    <mergeCell ref="A694:A696"/>
    <mergeCell ref="A701:A703"/>
    <mergeCell ref="A704:A706"/>
    <mergeCell ref="A707:A709"/>
    <mergeCell ref="A710:A712"/>
    <mergeCell ref="A713:A715"/>
    <mergeCell ref="A716:A718"/>
    <mergeCell ref="A647:A649"/>
    <mergeCell ref="A650:A652"/>
    <mergeCell ref="A653:A657"/>
    <mergeCell ref="A668:A670"/>
    <mergeCell ref="A674:A678"/>
    <mergeCell ref="A679:A681"/>
    <mergeCell ref="A682:A684"/>
    <mergeCell ref="A664:A667"/>
    <mergeCell ref="A658:A662"/>
    <mergeCell ref="A688:A691"/>
    <mergeCell ref="A756:A758"/>
    <mergeCell ref="A759:A761"/>
    <mergeCell ref="A762:A764"/>
    <mergeCell ref="A768:A770"/>
    <mergeCell ref="A771:A773"/>
    <mergeCell ref="A774:A776"/>
    <mergeCell ref="A723:A725"/>
    <mergeCell ref="A726:A728"/>
    <mergeCell ref="A729:A731"/>
    <mergeCell ref="A740:A742"/>
    <mergeCell ref="A752:A755"/>
    <mergeCell ref="A732:A739"/>
    <mergeCell ref="A765:A767"/>
    <mergeCell ref="A719:A720"/>
    <mergeCell ref="A743:A749"/>
    <mergeCell ref="B13:B14"/>
    <mergeCell ref="B16:B18"/>
    <mergeCell ref="B19:B21"/>
    <mergeCell ref="B22:B24"/>
    <mergeCell ref="B27:B29"/>
    <mergeCell ref="B30:B32"/>
    <mergeCell ref="B33:B41"/>
    <mergeCell ref="B42:B43"/>
    <mergeCell ref="B44:B46"/>
    <mergeCell ref="B47:B49"/>
    <mergeCell ref="B50:B52"/>
    <mergeCell ref="B53:B54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5:B87"/>
    <mergeCell ref="B121:B123"/>
    <mergeCell ref="B124:B126"/>
    <mergeCell ref="B127:B129"/>
    <mergeCell ref="B130:B132"/>
    <mergeCell ref="B133:B135"/>
    <mergeCell ref="B136:B138"/>
    <mergeCell ref="B139:B141"/>
    <mergeCell ref="B143:B146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78:B180"/>
    <mergeCell ref="B181:B183"/>
    <mergeCell ref="B184:B186"/>
    <mergeCell ref="B187:B189"/>
    <mergeCell ref="B190:B192"/>
    <mergeCell ref="B193:B195"/>
    <mergeCell ref="B196:B198"/>
    <mergeCell ref="B150:B152"/>
    <mergeCell ref="B153:B155"/>
    <mergeCell ref="B156:B158"/>
    <mergeCell ref="B159:B161"/>
    <mergeCell ref="B162:B164"/>
    <mergeCell ref="B165:B167"/>
    <mergeCell ref="B168:B170"/>
    <mergeCell ref="B172:B174"/>
    <mergeCell ref="B765:B767"/>
    <mergeCell ref="B211:B216"/>
    <mergeCell ref="B230:B232"/>
    <mergeCell ref="B233:B235"/>
    <mergeCell ref="B236:B238"/>
    <mergeCell ref="B239:B241"/>
    <mergeCell ref="B242:B244"/>
    <mergeCell ref="B259:B260"/>
    <mergeCell ref="B264:B266"/>
    <mergeCell ref="B285:B286"/>
    <mergeCell ref="B292:B294"/>
    <mergeCell ref="B346:B348"/>
    <mergeCell ref="B341:B344"/>
    <mergeCell ref="B375:B376"/>
    <mergeCell ref="B298:B300"/>
    <mergeCell ref="B301:B303"/>
    <mergeCell ref="B307:B309"/>
    <mergeCell ref="B335:B337"/>
    <mergeCell ref="B338:B340"/>
    <mergeCell ref="B349:B351"/>
    <mergeCell ref="B352:B354"/>
    <mergeCell ref="B355:B357"/>
    <mergeCell ref="B332:B334"/>
    <mergeCell ref="B358:B360"/>
    <mergeCell ref="B310:B312"/>
    <mergeCell ref="B313:B315"/>
    <mergeCell ref="B317:B319"/>
    <mergeCell ref="B320:B322"/>
    <mergeCell ref="B323:B325"/>
    <mergeCell ref="B364:B366"/>
    <mergeCell ref="B367:B369"/>
    <mergeCell ref="B370:B372"/>
    <mergeCell ref="B377:B379"/>
    <mergeCell ref="B383:B385"/>
    <mergeCell ref="B361:B363"/>
    <mergeCell ref="B380:B382"/>
    <mergeCell ref="B386:B388"/>
    <mergeCell ref="B389:B391"/>
    <mergeCell ref="B392:B394"/>
    <mergeCell ref="B395:B397"/>
    <mergeCell ref="B398:B400"/>
    <mergeCell ref="B404:B406"/>
    <mergeCell ref="B410:B412"/>
    <mergeCell ref="B401:B402"/>
    <mergeCell ref="B407:B409"/>
    <mergeCell ref="B413:B415"/>
    <mergeCell ref="B416:B418"/>
    <mergeCell ref="B426:B428"/>
    <mergeCell ref="B433:B435"/>
    <mergeCell ref="B436:B439"/>
    <mergeCell ref="B419:B425"/>
    <mergeCell ref="B429:B431"/>
    <mergeCell ref="B440:B443"/>
    <mergeCell ref="B444:B446"/>
    <mergeCell ref="B447:B450"/>
    <mergeCell ref="B451:B453"/>
    <mergeCell ref="B454:B455"/>
    <mergeCell ref="B456:B458"/>
    <mergeCell ref="B464:B466"/>
    <mergeCell ref="B467:B469"/>
    <mergeCell ref="B459:B460"/>
    <mergeCell ref="B462:B463"/>
    <mergeCell ref="B521:B523"/>
    <mergeCell ref="B524:B526"/>
    <mergeCell ref="B527:B529"/>
    <mergeCell ref="B530:B532"/>
    <mergeCell ref="B533:B535"/>
    <mergeCell ref="B577:B579"/>
    <mergeCell ref="B568:B575"/>
    <mergeCell ref="B470:B472"/>
    <mergeCell ref="B473:B475"/>
    <mergeCell ref="B476:B478"/>
    <mergeCell ref="B514:B516"/>
    <mergeCell ref="B517:B518"/>
    <mergeCell ref="B536:B538"/>
    <mergeCell ref="B539:B541"/>
    <mergeCell ref="B479:B481"/>
    <mergeCell ref="B482:B484"/>
    <mergeCell ref="B494:B496"/>
    <mergeCell ref="B497:B499"/>
    <mergeCell ref="B500:B502"/>
    <mergeCell ref="B491:B493"/>
    <mergeCell ref="B485:B489"/>
    <mergeCell ref="B503:B507"/>
    <mergeCell ref="B508:B513"/>
    <mergeCell ref="B549:B551"/>
    <mergeCell ref="B559:B561"/>
    <mergeCell ref="B562:B564"/>
    <mergeCell ref="B565:B567"/>
    <mergeCell ref="B552:B555"/>
    <mergeCell ref="B602:B604"/>
    <mergeCell ref="B668:B670"/>
    <mergeCell ref="B542:B544"/>
    <mergeCell ref="B545:B547"/>
    <mergeCell ref="B556:B558"/>
    <mergeCell ref="B580:B582"/>
    <mergeCell ref="B592:B594"/>
    <mergeCell ref="B595:B597"/>
    <mergeCell ref="B642:B643"/>
    <mergeCell ref="B644:B646"/>
    <mergeCell ref="B647:B649"/>
    <mergeCell ref="B650:B652"/>
    <mergeCell ref="B653:B657"/>
    <mergeCell ref="B658:B662"/>
    <mergeCell ref="B598:B601"/>
    <mergeCell ref="B607:B610"/>
    <mergeCell ref="B688:B691"/>
    <mergeCell ref="B611:B614"/>
    <mergeCell ref="B615:B618"/>
    <mergeCell ref="B619:B622"/>
    <mergeCell ref="B623:B625"/>
    <mergeCell ref="B626:B628"/>
    <mergeCell ref="B629:B631"/>
    <mergeCell ref="B752:B755"/>
    <mergeCell ref="B217:B219"/>
    <mergeCell ref="B220:B222"/>
    <mergeCell ref="B223:B225"/>
    <mergeCell ref="B226:B228"/>
    <mergeCell ref="B679:B681"/>
    <mergeCell ref="B682:B684"/>
    <mergeCell ref="B685:B687"/>
    <mergeCell ref="B694:B696"/>
    <mergeCell ref="B701:B703"/>
    <mergeCell ref="B636:B638"/>
    <mergeCell ref="B639:B641"/>
    <mergeCell ref="B674:B678"/>
    <mergeCell ref="B632:B633"/>
    <mergeCell ref="B583:B585"/>
    <mergeCell ref="B586:B588"/>
    <mergeCell ref="B589:B591"/>
    <mergeCell ref="B756:B758"/>
    <mergeCell ref="B732:B739"/>
    <mergeCell ref="B704:B706"/>
    <mergeCell ref="B707:B709"/>
    <mergeCell ref="B710:B712"/>
    <mergeCell ref="B713:B715"/>
    <mergeCell ref="B716:B718"/>
    <mergeCell ref="B723:B725"/>
    <mergeCell ref="B726:B728"/>
    <mergeCell ref="B729:B731"/>
    <mergeCell ref="B719:B720"/>
    <mergeCell ref="B743:B749"/>
    <mergeCell ref="B759:B761"/>
    <mergeCell ref="B762:B764"/>
    <mergeCell ref="B768:B770"/>
    <mergeCell ref="B771:B773"/>
    <mergeCell ref="B774:B776"/>
    <mergeCell ref="C13:C14"/>
    <mergeCell ref="C16:C18"/>
    <mergeCell ref="C19:C21"/>
    <mergeCell ref="C22:C24"/>
    <mergeCell ref="C27:C29"/>
    <mergeCell ref="C30:C32"/>
    <mergeCell ref="C33:C41"/>
    <mergeCell ref="C42:C43"/>
    <mergeCell ref="C44:C46"/>
    <mergeCell ref="C47:C49"/>
    <mergeCell ref="C50:C52"/>
    <mergeCell ref="C53:C54"/>
    <mergeCell ref="C57:C59"/>
    <mergeCell ref="C60:C62"/>
    <mergeCell ref="C63:C65"/>
    <mergeCell ref="C66:C68"/>
    <mergeCell ref="C69:C71"/>
    <mergeCell ref="B740:B742"/>
    <mergeCell ref="C100:C102"/>
    <mergeCell ref="C72:C74"/>
    <mergeCell ref="C75:C77"/>
    <mergeCell ref="C78:C80"/>
    <mergeCell ref="C81:C83"/>
    <mergeCell ref="C85:C87"/>
    <mergeCell ref="C88:C90"/>
    <mergeCell ref="C91:C93"/>
    <mergeCell ref="C94:C96"/>
    <mergeCell ref="C97:C99"/>
    <mergeCell ref="C178:C180"/>
    <mergeCell ref="C181:C183"/>
    <mergeCell ref="C184:C186"/>
    <mergeCell ref="C130:C132"/>
    <mergeCell ref="C133:C135"/>
    <mergeCell ref="C136:C138"/>
    <mergeCell ref="C139:C141"/>
    <mergeCell ref="C143:C146"/>
    <mergeCell ref="C150:C152"/>
    <mergeCell ref="C153:C155"/>
    <mergeCell ref="C156:C158"/>
    <mergeCell ref="C187:C189"/>
    <mergeCell ref="C190:C192"/>
    <mergeCell ref="C193:C195"/>
    <mergeCell ref="C196:C198"/>
    <mergeCell ref="C203:C206"/>
    <mergeCell ref="C207:C210"/>
    <mergeCell ref="C765:C767"/>
    <mergeCell ref="C211:C216"/>
    <mergeCell ref="C259:C260"/>
    <mergeCell ref="C264:C266"/>
    <mergeCell ref="C285:C286"/>
    <mergeCell ref="C292:C294"/>
    <mergeCell ref="C346:C348"/>
    <mergeCell ref="C341:C344"/>
    <mergeCell ref="C375:C376"/>
    <mergeCell ref="C380:C382"/>
    <mergeCell ref="C401:C402"/>
    <mergeCell ref="C407:C409"/>
    <mergeCell ref="C429:C431"/>
    <mergeCell ref="C459:C460"/>
    <mergeCell ref="C310:C312"/>
    <mergeCell ref="C313:C315"/>
    <mergeCell ref="C335:C337"/>
    <mergeCell ref="C282:C284"/>
    <mergeCell ref="C289:C291"/>
    <mergeCell ref="C295:C297"/>
    <mergeCell ref="C298:C300"/>
    <mergeCell ref="C301:C303"/>
    <mergeCell ref="C307:C309"/>
    <mergeCell ref="C245:C247"/>
    <mergeCell ref="C251:C253"/>
    <mergeCell ref="C338:C340"/>
    <mergeCell ref="C349:C351"/>
    <mergeCell ref="C352:C354"/>
    <mergeCell ref="C355:C357"/>
    <mergeCell ref="C358:C360"/>
    <mergeCell ref="C364:C366"/>
    <mergeCell ref="C367:C369"/>
    <mergeCell ref="C361:C363"/>
    <mergeCell ref="C370:C372"/>
    <mergeCell ref="C377:C379"/>
    <mergeCell ref="C383:C385"/>
    <mergeCell ref="C386:C388"/>
    <mergeCell ref="C389:C391"/>
    <mergeCell ref="C392:C394"/>
    <mergeCell ref="C395:C397"/>
    <mergeCell ref="C398:C400"/>
    <mergeCell ref="C404:C406"/>
    <mergeCell ref="C410:C412"/>
    <mergeCell ref="C413:C415"/>
    <mergeCell ref="C416:C418"/>
    <mergeCell ref="C419:C425"/>
    <mergeCell ref="C426:C428"/>
    <mergeCell ref="C433:C435"/>
    <mergeCell ref="C436:C439"/>
    <mergeCell ref="C440:C443"/>
    <mergeCell ref="C444:C446"/>
    <mergeCell ref="C447:C450"/>
    <mergeCell ref="C451:C453"/>
    <mergeCell ref="C454:C455"/>
    <mergeCell ref="C456:C458"/>
    <mergeCell ref="C464:C466"/>
    <mergeCell ref="C467:C469"/>
    <mergeCell ref="C470:C472"/>
    <mergeCell ref="C473:C475"/>
    <mergeCell ref="C476:C478"/>
    <mergeCell ref="C479:C481"/>
    <mergeCell ref="C462:C463"/>
    <mergeCell ref="C482:C484"/>
    <mergeCell ref="C494:C496"/>
    <mergeCell ref="C497:C499"/>
    <mergeCell ref="C500:C502"/>
    <mergeCell ref="C503:C507"/>
    <mergeCell ref="C508:C513"/>
    <mergeCell ref="C514:C516"/>
    <mergeCell ref="C491:C493"/>
    <mergeCell ref="C485:C489"/>
    <mergeCell ref="C517:C518"/>
    <mergeCell ref="C521:C523"/>
    <mergeCell ref="C524:C526"/>
    <mergeCell ref="C527:C529"/>
    <mergeCell ref="C530:C532"/>
    <mergeCell ref="C533:C535"/>
    <mergeCell ref="C536:C538"/>
    <mergeCell ref="C539:C541"/>
    <mergeCell ref="C542:C544"/>
    <mergeCell ref="C545:C547"/>
    <mergeCell ref="C549:C551"/>
    <mergeCell ref="C559:C561"/>
    <mergeCell ref="C562:C564"/>
    <mergeCell ref="C565:C567"/>
    <mergeCell ref="C552:C555"/>
    <mergeCell ref="C556:C558"/>
    <mergeCell ref="C580:C582"/>
    <mergeCell ref="C577:C579"/>
    <mergeCell ref="C568:C575"/>
    <mergeCell ref="C583:C585"/>
    <mergeCell ref="C586:C588"/>
    <mergeCell ref="C589:C591"/>
    <mergeCell ref="C592:C594"/>
    <mergeCell ref="C595:C597"/>
    <mergeCell ref="C598:C601"/>
    <mergeCell ref="C607:C610"/>
    <mergeCell ref="C611:C614"/>
    <mergeCell ref="C602:C604"/>
    <mergeCell ref="C615:C618"/>
    <mergeCell ref="C619:C622"/>
    <mergeCell ref="C623:C625"/>
    <mergeCell ref="C626:C628"/>
    <mergeCell ref="C629:C631"/>
    <mergeCell ref="C636:C638"/>
    <mergeCell ref="C639:C641"/>
    <mergeCell ref="C642:C643"/>
    <mergeCell ref="C632:C633"/>
    <mergeCell ref="C682:C684"/>
    <mergeCell ref="C685:C687"/>
    <mergeCell ref="C694:C696"/>
    <mergeCell ref="C701:C703"/>
    <mergeCell ref="C704:C706"/>
    <mergeCell ref="C707:C709"/>
    <mergeCell ref="C710:C712"/>
    <mergeCell ref="C713:C715"/>
    <mergeCell ref="C644:C646"/>
    <mergeCell ref="C647:C649"/>
    <mergeCell ref="C650:C652"/>
    <mergeCell ref="C653:C657"/>
    <mergeCell ref="C668:C670"/>
    <mergeCell ref="C674:C678"/>
    <mergeCell ref="C679:C681"/>
    <mergeCell ref="C658:C662"/>
    <mergeCell ref="C688:C691"/>
    <mergeCell ref="D13:D14"/>
    <mergeCell ref="E13:E14"/>
    <mergeCell ref="A118:A120"/>
    <mergeCell ref="B118:B120"/>
    <mergeCell ref="C118:C120"/>
    <mergeCell ref="A147:A149"/>
    <mergeCell ref="B147:B149"/>
    <mergeCell ref="C147:C149"/>
    <mergeCell ref="A175:A177"/>
    <mergeCell ref="B175:B177"/>
    <mergeCell ref="C175:C177"/>
    <mergeCell ref="B114:B117"/>
    <mergeCell ref="C114:C117"/>
    <mergeCell ref="C159:C161"/>
    <mergeCell ref="C162:C164"/>
    <mergeCell ref="C165:C167"/>
    <mergeCell ref="C168:C170"/>
    <mergeCell ref="C172:C174"/>
    <mergeCell ref="C103:C105"/>
    <mergeCell ref="C106:C108"/>
    <mergeCell ref="C109:C111"/>
    <mergeCell ref="C121:C123"/>
    <mergeCell ref="C124:C126"/>
    <mergeCell ref="C127:C129"/>
    <mergeCell ref="A304:A306"/>
    <mergeCell ref="B304:B306"/>
    <mergeCell ref="C304:C306"/>
    <mergeCell ref="C332:C334"/>
    <mergeCell ref="C217:C219"/>
    <mergeCell ref="C220:C222"/>
    <mergeCell ref="C223:C225"/>
    <mergeCell ref="C226:C228"/>
    <mergeCell ref="C279:C281"/>
    <mergeCell ref="C317:C319"/>
    <mergeCell ref="C320:C322"/>
    <mergeCell ref="C323:C325"/>
    <mergeCell ref="C326:C328"/>
    <mergeCell ref="C329:C331"/>
    <mergeCell ref="B326:B328"/>
    <mergeCell ref="B329:B331"/>
    <mergeCell ref="B270:B272"/>
    <mergeCell ref="B273:B275"/>
    <mergeCell ref="B276:B278"/>
    <mergeCell ref="B279:B281"/>
    <mergeCell ref="B282:B284"/>
    <mergeCell ref="B289:B291"/>
    <mergeCell ref="B295:B297"/>
    <mergeCell ref="B245:B247"/>
    <mergeCell ref="C201:C202"/>
    <mergeCell ref="B201:B202"/>
    <mergeCell ref="A201:A202"/>
    <mergeCell ref="C254:C256"/>
    <mergeCell ref="C261:C263"/>
    <mergeCell ref="C267:C269"/>
    <mergeCell ref="C270:C272"/>
    <mergeCell ref="C273:C275"/>
    <mergeCell ref="C276:C278"/>
    <mergeCell ref="C230:C232"/>
    <mergeCell ref="C233:C235"/>
    <mergeCell ref="C236:C238"/>
    <mergeCell ref="C239:C241"/>
    <mergeCell ref="C242:C244"/>
    <mergeCell ref="C248:C250"/>
    <mergeCell ref="B248:B250"/>
    <mergeCell ref="B251:B253"/>
    <mergeCell ref="B254:B256"/>
    <mergeCell ref="B261:B263"/>
    <mergeCell ref="B267:B269"/>
    <mergeCell ref="B203:B206"/>
    <mergeCell ref="B207:B210"/>
    <mergeCell ref="A211:A216"/>
    <mergeCell ref="A230:A232"/>
    <mergeCell ref="A783:D783"/>
    <mergeCell ref="B664:B667"/>
    <mergeCell ref="C664:C667"/>
    <mergeCell ref="A671:A673"/>
    <mergeCell ref="B671:B673"/>
    <mergeCell ref="C671:C673"/>
    <mergeCell ref="B697:B700"/>
    <mergeCell ref="C697:C700"/>
    <mergeCell ref="A697:A700"/>
    <mergeCell ref="C774:C776"/>
    <mergeCell ref="C759:C761"/>
    <mergeCell ref="C762:C764"/>
    <mergeCell ref="C768:C770"/>
    <mergeCell ref="C771:C773"/>
    <mergeCell ref="C716:C718"/>
    <mergeCell ref="C723:C725"/>
    <mergeCell ref="C726:C728"/>
    <mergeCell ref="C729:C731"/>
    <mergeCell ref="C740:C742"/>
    <mergeCell ref="C752:C755"/>
    <mergeCell ref="C732:C739"/>
    <mergeCell ref="C719:C720"/>
    <mergeCell ref="C743:C749"/>
    <mergeCell ref="C756:C758"/>
  </mergeCells>
  <pageMargins left="0.74803149606299213" right="0.78740157480314965" top="1.1811023622047245" bottom="0.31496062992125984" header="0" footer="0"/>
  <pageSetup paperSize="9" orientation="landscape" useFirstPageNumber="1" r:id="rId1"/>
  <headerFooter differentFirst="1">
    <oddHeader>&amp;C&amp;12
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4"/>
  <sheetViews>
    <sheetView view="pageBreakPreview" topLeftCell="A6" zoomScale="60" zoomScaleNormal="30" zoomScalePageLayoutView="40" workbookViewId="0">
      <pane ySplit="4" topLeftCell="A125" activePane="bottomLeft" state="frozen"/>
      <selection pane="bottomLeft" activeCell="A186" sqref="A186:XFD186"/>
    </sheetView>
  </sheetViews>
  <sheetFormatPr defaultColWidth="9.33203125" defaultRowHeight="18" x14ac:dyDescent="0.35"/>
  <cols>
    <col min="1" max="1" width="7.88671875" style="255" customWidth="1"/>
    <col min="2" max="2" width="41.6640625" style="256" customWidth="1"/>
    <col min="3" max="3" width="17.44140625" style="257" customWidth="1"/>
    <col min="4" max="5" width="16.5546875" style="257" customWidth="1"/>
    <col min="6" max="6" width="15.77734375" style="257" customWidth="1"/>
    <col min="7" max="7" width="17.44140625" style="257" customWidth="1"/>
    <col min="8" max="8" width="15.77734375" style="257" customWidth="1"/>
    <col min="9" max="9" width="17.109375" style="257" customWidth="1"/>
    <col min="10" max="10" width="18.5546875" style="257" customWidth="1"/>
    <col min="11" max="16384" width="9.33203125" style="255"/>
  </cols>
  <sheetData>
    <row r="1" spans="1:11" ht="27.75" hidden="1" customHeight="1" x14ac:dyDescent="0.35">
      <c r="J1" s="346" t="s">
        <v>150</v>
      </c>
      <c r="K1" s="346"/>
    </row>
    <row r="2" spans="1:11" ht="387" hidden="1" customHeight="1" x14ac:dyDescent="0.35">
      <c r="J2" s="346"/>
      <c r="K2" s="346"/>
    </row>
    <row r="3" spans="1:11" ht="51" hidden="1" customHeight="1" x14ac:dyDescent="0.35">
      <c r="J3" s="346"/>
      <c r="K3" s="346"/>
    </row>
    <row r="4" spans="1:11" ht="3" hidden="1" customHeight="1" x14ac:dyDescent="0.35">
      <c r="J4" s="346"/>
      <c r="K4" s="346"/>
    </row>
    <row r="5" spans="1:11" ht="18.75" hidden="1" customHeight="1" x14ac:dyDescent="0.35">
      <c r="J5" s="269"/>
      <c r="K5" s="268"/>
    </row>
    <row r="6" spans="1:11" ht="27" customHeight="1" x14ac:dyDescent="0.35">
      <c r="J6" s="270" t="s">
        <v>151</v>
      </c>
      <c r="K6" s="268"/>
    </row>
    <row r="7" spans="1:11" ht="20.100000000000001" customHeight="1" x14ac:dyDescent="0.35">
      <c r="J7" s="271"/>
      <c r="K7" s="268"/>
    </row>
    <row r="8" spans="1:11" s="254" customFormat="1" ht="25.5" customHeight="1" x14ac:dyDescent="0.35">
      <c r="A8" s="258"/>
      <c r="B8" s="259"/>
      <c r="C8" s="258"/>
      <c r="D8" s="258"/>
      <c r="E8" s="258"/>
      <c r="F8" s="258"/>
      <c r="G8" s="258"/>
      <c r="H8" s="258"/>
      <c r="I8" s="258"/>
      <c r="J8" s="258"/>
    </row>
    <row r="9" spans="1:11" ht="79.2" customHeight="1" x14ac:dyDescent="0.35">
      <c r="A9" s="165" t="s">
        <v>9</v>
      </c>
      <c r="B9" s="165" t="s">
        <v>152</v>
      </c>
      <c r="C9" s="260" t="s">
        <v>153</v>
      </c>
      <c r="D9" s="260" t="s">
        <v>154</v>
      </c>
      <c r="E9" s="260" t="s">
        <v>155</v>
      </c>
      <c r="F9" s="260" t="s">
        <v>156</v>
      </c>
      <c r="G9" s="260" t="s">
        <v>157</v>
      </c>
      <c r="H9" s="260" t="s">
        <v>158</v>
      </c>
      <c r="I9" s="260" t="s">
        <v>159</v>
      </c>
      <c r="J9" s="260" t="s">
        <v>160</v>
      </c>
    </row>
    <row r="10" spans="1:11" ht="32.25" customHeight="1" x14ac:dyDescent="0.35">
      <c r="A10" s="261">
        <v>1</v>
      </c>
      <c r="B10" s="261">
        <v>2</v>
      </c>
      <c r="C10" s="261">
        <v>3</v>
      </c>
      <c r="D10" s="261">
        <v>4</v>
      </c>
      <c r="E10" s="261"/>
      <c r="F10" s="261"/>
      <c r="G10" s="261"/>
      <c r="H10" s="261"/>
      <c r="I10" s="261">
        <v>5</v>
      </c>
      <c r="J10" s="261">
        <v>6</v>
      </c>
    </row>
    <row r="11" spans="1:11" ht="35.1" customHeight="1" x14ac:dyDescent="0.35">
      <c r="A11" s="262">
        <v>1</v>
      </c>
      <c r="B11" s="263" t="s">
        <v>161</v>
      </c>
      <c r="C11" s="165"/>
      <c r="D11" s="260">
        <v>3702831.57</v>
      </c>
      <c r="E11" s="260"/>
      <c r="F11" s="260"/>
      <c r="G11" s="260"/>
      <c r="H11" s="260"/>
      <c r="I11" s="260">
        <v>151890.07999999999</v>
      </c>
      <c r="J11" s="260">
        <f t="shared" ref="J11:J13" si="0">SUM(D11+I11)</f>
        <v>3854721.65</v>
      </c>
    </row>
    <row r="12" spans="1:11" ht="35.1" customHeight="1" x14ac:dyDescent="0.35">
      <c r="A12" s="262">
        <v>2</v>
      </c>
      <c r="B12" s="263" t="s">
        <v>162</v>
      </c>
      <c r="C12" s="165"/>
      <c r="D12" s="260">
        <v>7405663.1399999997</v>
      </c>
      <c r="E12" s="260"/>
      <c r="F12" s="260"/>
      <c r="G12" s="260"/>
      <c r="H12" s="260"/>
      <c r="I12" s="260">
        <v>303780.15999999997</v>
      </c>
      <c r="J12" s="260">
        <f t="shared" si="0"/>
        <v>7709443.2999999998</v>
      </c>
    </row>
    <row r="13" spans="1:11" ht="35.1" customHeight="1" x14ac:dyDescent="0.35">
      <c r="A13" s="262">
        <v>3</v>
      </c>
      <c r="B13" s="263" t="s">
        <v>163</v>
      </c>
      <c r="C13" s="165"/>
      <c r="D13" s="260">
        <v>1851415.78</v>
      </c>
      <c r="E13" s="260"/>
      <c r="F13" s="260"/>
      <c r="G13" s="260"/>
      <c r="H13" s="260"/>
      <c r="I13" s="260">
        <v>75945.039999999994</v>
      </c>
      <c r="J13" s="260">
        <f t="shared" si="0"/>
        <v>1927360.82</v>
      </c>
    </row>
    <row r="14" spans="1:11" ht="35.1" customHeight="1" x14ac:dyDescent="0.35">
      <c r="A14" s="262">
        <v>4</v>
      </c>
      <c r="B14" s="263" t="s">
        <v>164</v>
      </c>
      <c r="C14" s="260">
        <v>4754302.4800000004</v>
      </c>
      <c r="D14" s="260">
        <v>7405663.1399999997</v>
      </c>
      <c r="E14" s="260"/>
      <c r="F14" s="260"/>
      <c r="G14" s="260"/>
      <c r="H14" s="260"/>
      <c r="I14" s="260">
        <v>551780.16</v>
      </c>
      <c r="J14" s="260">
        <f>SUM(C14+D14+I14)</f>
        <v>12711745.780000001</v>
      </c>
    </row>
    <row r="15" spans="1:11" ht="35.1" customHeight="1" x14ac:dyDescent="0.35">
      <c r="A15" s="262">
        <v>5</v>
      </c>
      <c r="B15" s="263" t="s">
        <v>165</v>
      </c>
      <c r="C15" s="260">
        <v>2377151.2400000002</v>
      </c>
      <c r="D15" s="260"/>
      <c r="E15" s="260"/>
      <c r="F15" s="260"/>
      <c r="G15" s="260"/>
      <c r="H15" s="260"/>
      <c r="I15" s="260">
        <v>124000</v>
      </c>
      <c r="J15" s="260">
        <f t="shared" ref="J15:J24" si="1">SUM(C15+I15)</f>
        <v>2501151.2400000002</v>
      </c>
    </row>
    <row r="16" spans="1:11" ht="35.1" customHeight="1" x14ac:dyDescent="0.35">
      <c r="A16" s="262">
        <v>6</v>
      </c>
      <c r="B16" s="264" t="s">
        <v>166</v>
      </c>
      <c r="C16" s="260">
        <v>2377151.2400000002</v>
      </c>
      <c r="D16" s="260"/>
      <c r="E16" s="260"/>
      <c r="F16" s="260"/>
      <c r="G16" s="260"/>
      <c r="H16" s="260"/>
      <c r="I16" s="260">
        <v>124000</v>
      </c>
      <c r="J16" s="260">
        <f t="shared" si="1"/>
        <v>2501151.2400000002</v>
      </c>
    </row>
    <row r="17" spans="1:10" ht="35.1" customHeight="1" x14ac:dyDescent="0.35">
      <c r="A17" s="262">
        <v>7</v>
      </c>
      <c r="B17" s="264" t="s">
        <v>167</v>
      </c>
      <c r="C17" s="260">
        <v>2377151.2400000002</v>
      </c>
      <c r="D17" s="260"/>
      <c r="E17" s="260"/>
      <c r="F17" s="260"/>
      <c r="G17" s="260"/>
      <c r="H17" s="260"/>
      <c r="I17" s="260">
        <v>124000</v>
      </c>
      <c r="J17" s="260">
        <f t="shared" si="1"/>
        <v>2501151.2400000002</v>
      </c>
    </row>
    <row r="18" spans="1:10" ht="35.1" customHeight="1" x14ac:dyDescent="0.35">
      <c r="A18" s="262">
        <v>8</v>
      </c>
      <c r="B18" s="264" t="s">
        <v>168</v>
      </c>
      <c r="C18" s="260">
        <v>2377151.2400000002</v>
      </c>
      <c r="D18" s="260"/>
      <c r="E18" s="260"/>
      <c r="F18" s="260"/>
      <c r="G18" s="260"/>
      <c r="H18" s="260"/>
      <c r="I18" s="260">
        <v>124000</v>
      </c>
      <c r="J18" s="260">
        <f t="shared" si="1"/>
        <v>2501151.2400000002</v>
      </c>
    </row>
    <row r="19" spans="1:10" ht="35.1" customHeight="1" x14ac:dyDescent="0.35">
      <c r="A19" s="262">
        <v>9</v>
      </c>
      <c r="B19" s="264" t="s">
        <v>169</v>
      </c>
      <c r="C19" s="260">
        <v>2377151.2400000002</v>
      </c>
      <c r="D19" s="260"/>
      <c r="E19" s="260"/>
      <c r="F19" s="260"/>
      <c r="G19" s="260"/>
      <c r="H19" s="260"/>
      <c r="I19" s="260">
        <v>124000</v>
      </c>
      <c r="J19" s="260">
        <f t="shared" si="1"/>
        <v>2501151.2400000002</v>
      </c>
    </row>
    <row r="20" spans="1:10" ht="35.1" customHeight="1" x14ac:dyDescent="0.35">
      <c r="A20" s="262">
        <v>10</v>
      </c>
      <c r="B20" s="264" t="s">
        <v>170</v>
      </c>
      <c r="C20" s="260">
        <v>2377151.2400000002</v>
      </c>
      <c r="D20" s="260"/>
      <c r="E20" s="260"/>
      <c r="F20" s="260"/>
      <c r="G20" s="260"/>
      <c r="H20" s="260"/>
      <c r="I20" s="260">
        <v>124000</v>
      </c>
      <c r="J20" s="260">
        <f t="shared" si="1"/>
        <v>2501151.2400000002</v>
      </c>
    </row>
    <row r="21" spans="1:10" ht="35.1" customHeight="1" x14ac:dyDescent="0.35">
      <c r="A21" s="262">
        <v>11</v>
      </c>
      <c r="B21" s="264" t="s">
        <v>171</v>
      </c>
      <c r="C21" s="260">
        <v>2377151.2400000002</v>
      </c>
      <c r="D21" s="260"/>
      <c r="E21" s="260"/>
      <c r="F21" s="260"/>
      <c r="G21" s="260"/>
      <c r="H21" s="260"/>
      <c r="I21" s="260">
        <v>124000</v>
      </c>
      <c r="J21" s="260">
        <f t="shared" si="1"/>
        <v>2501151.2400000002</v>
      </c>
    </row>
    <row r="22" spans="1:10" ht="35.1" customHeight="1" x14ac:dyDescent="0.35">
      <c r="A22" s="262">
        <v>12</v>
      </c>
      <c r="B22" s="264" t="s">
        <v>172</v>
      </c>
      <c r="C22" s="260">
        <v>2377151.2400000002</v>
      </c>
      <c r="D22" s="260"/>
      <c r="E22" s="260"/>
      <c r="F22" s="260"/>
      <c r="G22" s="260"/>
      <c r="H22" s="260"/>
      <c r="I22" s="260">
        <v>124000</v>
      </c>
      <c r="J22" s="260">
        <f t="shared" si="1"/>
        <v>2501151.2400000002</v>
      </c>
    </row>
    <row r="23" spans="1:10" ht="35.1" customHeight="1" x14ac:dyDescent="0.35">
      <c r="A23" s="262">
        <v>13</v>
      </c>
      <c r="B23" s="264" t="s">
        <v>173</v>
      </c>
      <c r="C23" s="260">
        <v>2377151.2400000002</v>
      </c>
      <c r="D23" s="260"/>
      <c r="E23" s="260"/>
      <c r="F23" s="260"/>
      <c r="G23" s="260"/>
      <c r="H23" s="260"/>
      <c r="I23" s="260">
        <v>124000</v>
      </c>
      <c r="J23" s="260">
        <f t="shared" si="1"/>
        <v>2501151.2400000002</v>
      </c>
    </row>
    <row r="24" spans="1:10" ht="35.1" customHeight="1" x14ac:dyDescent="0.35">
      <c r="A24" s="262">
        <v>14</v>
      </c>
      <c r="B24" s="264" t="s">
        <v>174</v>
      </c>
      <c r="C24" s="260">
        <v>2377151.2400000002</v>
      </c>
      <c r="D24" s="260"/>
      <c r="E24" s="260"/>
      <c r="F24" s="260"/>
      <c r="G24" s="260"/>
      <c r="H24" s="260"/>
      <c r="I24" s="260">
        <v>124000</v>
      </c>
      <c r="J24" s="260">
        <f t="shared" si="1"/>
        <v>2501151.2400000002</v>
      </c>
    </row>
    <row r="25" spans="1:10" ht="32.25" customHeight="1" x14ac:dyDescent="0.35">
      <c r="A25" s="265">
        <v>1</v>
      </c>
      <c r="B25" s="261">
        <v>2</v>
      </c>
      <c r="C25" s="261">
        <v>3</v>
      </c>
      <c r="D25" s="261">
        <v>4</v>
      </c>
      <c r="E25" s="261"/>
      <c r="F25" s="261"/>
      <c r="G25" s="261"/>
      <c r="H25" s="261"/>
      <c r="I25" s="261">
        <v>5</v>
      </c>
      <c r="J25" s="261">
        <v>6</v>
      </c>
    </row>
    <row r="26" spans="1:10" ht="35.1" customHeight="1" x14ac:dyDescent="0.35">
      <c r="A26" s="262">
        <v>15</v>
      </c>
      <c r="B26" s="264" t="s">
        <v>175</v>
      </c>
      <c r="C26" s="260">
        <v>2377151.2400000002</v>
      </c>
      <c r="D26" s="260"/>
      <c r="E26" s="260"/>
      <c r="F26" s="260"/>
      <c r="G26" s="260"/>
      <c r="H26" s="260"/>
      <c r="I26" s="260">
        <v>124000</v>
      </c>
      <c r="J26" s="260">
        <f t="shared" ref="J26:J36" si="2">SUM(C26+I26)</f>
        <v>2501151.2400000002</v>
      </c>
    </row>
    <row r="27" spans="1:10" ht="35.1" customHeight="1" x14ac:dyDescent="0.35">
      <c r="A27" s="262">
        <v>16</v>
      </c>
      <c r="B27" s="264" t="s">
        <v>176</v>
      </c>
      <c r="C27" s="260">
        <v>2377151.2400000002</v>
      </c>
      <c r="D27" s="260"/>
      <c r="E27" s="260"/>
      <c r="F27" s="260"/>
      <c r="G27" s="260"/>
      <c r="H27" s="260"/>
      <c r="I27" s="260">
        <v>124000</v>
      </c>
      <c r="J27" s="260">
        <f t="shared" si="2"/>
        <v>2501151.2400000002</v>
      </c>
    </row>
    <row r="28" spans="1:10" ht="35.1" customHeight="1" x14ac:dyDescent="0.35">
      <c r="A28" s="262">
        <v>17</v>
      </c>
      <c r="B28" s="264" t="s">
        <v>177</v>
      </c>
      <c r="C28" s="260">
        <v>2377151.2400000002</v>
      </c>
      <c r="D28" s="260"/>
      <c r="E28" s="260"/>
      <c r="F28" s="260"/>
      <c r="G28" s="260"/>
      <c r="H28" s="260"/>
      <c r="I28" s="260">
        <v>124000</v>
      </c>
      <c r="J28" s="260">
        <f t="shared" si="2"/>
        <v>2501151.2400000002</v>
      </c>
    </row>
    <row r="29" spans="1:10" ht="35.1" customHeight="1" x14ac:dyDescent="0.35">
      <c r="A29" s="262">
        <v>18</v>
      </c>
      <c r="B29" s="264" t="s">
        <v>178</v>
      </c>
      <c r="C29" s="260">
        <v>2377151.2400000002</v>
      </c>
      <c r="D29" s="260"/>
      <c r="E29" s="260"/>
      <c r="F29" s="260"/>
      <c r="G29" s="260"/>
      <c r="H29" s="260"/>
      <c r="I29" s="260">
        <v>124000</v>
      </c>
      <c r="J29" s="260">
        <f t="shared" si="2"/>
        <v>2501151.2400000002</v>
      </c>
    </row>
    <row r="30" spans="1:10" ht="35.1" customHeight="1" x14ac:dyDescent="0.35">
      <c r="A30" s="262">
        <v>19</v>
      </c>
      <c r="B30" s="264" t="s">
        <v>179</v>
      </c>
      <c r="C30" s="260">
        <v>2377151.2400000002</v>
      </c>
      <c r="D30" s="260"/>
      <c r="E30" s="260"/>
      <c r="F30" s="260"/>
      <c r="G30" s="260"/>
      <c r="H30" s="260"/>
      <c r="I30" s="260">
        <v>124000</v>
      </c>
      <c r="J30" s="260">
        <f t="shared" si="2"/>
        <v>2501151.2400000002</v>
      </c>
    </row>
    <row r="31" spans="1:10" ht="35.1" customHeight="1" x14ac:dyDescent="0.35">
      <c r="A31" s="262">
        <v>20</v>
      </c>
      <c r="B31" s="264" t="s">
        <v>180</v>
      </c>
      <c r="C31" s="260">
        <v>2377151.2400000002</v>
      </c>
      <c r="D31" s="260"/>
      <c r="E31" s="260"/>
      <c r="F31" s="260"/>
      <c r="G31" s="260"/>
      <c r="H31" s="260"/>
      <c r="I31" s="260">
        <v>124000</v>
      </c>
      <c r="J31" s="260">
        <f t="shared" si="2"/>
        <v>2501151.2400000002</v>
      </c>
    </row>
    <row r="32" spans="1:10" ht="35.1" customHeight="1" x14ac:dyDescent="0.35">
      <c r="A32" s="262">
        <v>21</v>
      </c>
      <c r="B32" s="264" t="s">
        <v>181</v>
      </c>
      <c r="C32" s="260">
        <v>2377151.2400000002</v>
      </c>
      <c r="D32" s="260"/>
      <c r="E32" s="260"/>
      <c r="F32" s="260"/>
      <c r="G32" s="260"/>
      <c r="H32" s="260"/>
      <c r="I32" s="260">
        <v>124000</v>
      </c>
      <c r="J32" s="260">
        <f t="shared" si="2"/>
        <v>2501151.2400000002</v>
      </c>
    </row>
    <row r="33" spans="1:10" ht="35.1" customHeight="1" x14ac:dyDescent="0.35">
      <c r="A33" s="262">
        <v>22</v>
      </c>
      <c r="B33" s="264" t="s">
        <v>182</v>
      </c>
      <c r="C33" s="260">
        <v>2377151.2400000002</v>
      </c>
      <c r="D33" s="260"/>
      <c r="E33" s="260"/>
      <c r="F33" s="260"/>
      <c r="G33" s="260"/>
      <c r="H33" s="260"/>
      <c r="I33" s="260">
        <v>124000</v>
      </c>
      <c r="J33" s="260">
        <f t="shared" si="2"/>
        <v>2501151.2400000002</v>
      </c>
    </row>
    <row r="34" spans="1:10" ht="35.1" customHeight="1" x14ac:dyDescent="0.35">
      <c r="A34" s="262">
        <v>23</v>
      </c>
      <c r="B34" s="264" t="s">
        <v>183</v>
      </c>
      <c r="C34" s="260">
        <v>2377151.2400000002</v>
      </c>
      <c r="D34" s="260"/>
      <c r="E34" s="260"/>
      <c r="F34" s="260"/>
      <c r="G34" s="260"/>
      <c r="H34" s="260"/>
      <c r="I34" s="260">
        <v>124000</v>
      </c>
      <c r="J34" s="260">
        <f t="shared" si="2"/>
        <v>2501151.2400000002</v>
      </c>
    </row>
    <row r="35" spans="1:10" ht="35.1" customHeight="1" x14ac:dyDescent="0.35">
      <c r="A35" s="262">
        <v>24</v>
      </c>
      <c r="B35" s="264" t="s">
        <v>184</v>
      </c>
      <c r="C35" s="260">
        <v>2377151.2400000002</v>
      </c>
      <c r="D35" s="260"/>
      <c r="E35" s="260"/>
      <c r="F35" s="260"/>
      <c r="G35" s="260"/>
      <c r="H35" s="260"/>
      <c r="I35" s="260">
        <v>124000</v>
      </c>
      <c r="J35" s="260">
        <f t="shared" si="2"/>
        <v>2501151.2400000002</v>
      </c>
    </row>
    <row r="36" spans="1:10" ht="35.1" customHeight="1" x14ac:dyDescent="0.35">
      <c r="A36" s="262">
        <v>25</v>
      </c>
      <c r="B36" s="264" t="s">
        <v>185</v>
      </c>
      <c r="C36" s="260">
        <v>2377151.2400000002</v>
      </c>
      <c r="D36" s="260"/>
      <c r="E36" s="260"/>
      <c r="F36" s="260"/>
      <c r="G36" s="260"/>
      <c r="H36" s="260"/>
      <c r="I36" s="260">
        <v>124000</v>
      </c>
      <c r="J36" s="260">
        <f t="shared" si="2"/>
        <v>2501151.2400000002</v>
      </c>
    </row>
    <row r="37" spans="1:10" ht="35.1" customHeight="1" x14ac:dyDescent="0.35">
      <c r="A37" s="165">
        <v>26</v>
      </c>
      <c r="B37" s="266" t="s">
        <v>186</v>
      </c>
      <c r="C37" s="260"/>
      <c r="D37" s="260"/>
      <c r="E37" s="267">
        <v>6229365.1500000004</v>
      </c>
      <c r="F37" s="267"/>
      <c r="G37" s="267">
        <v>4669802.7699999996</v>
      </c>
      <c r="H37" s="267">
        <v>1006152.31</v>
      </c>
      <c r="I37" s="267">
        <v>748788.68</v>
      </c>
      <c r="J37" s="267">
        <f>SUM(E37:I37)</f>
        <v>12654108.91</v>
      </c>
    </row>
    <row r="38" spans="1:10" ht="35.1" customHeight="1" x14ac:dyDescent="0.35">
      <c r="A38" s="262">
        <v>27</v>
      </c>
      <c r="B38" s="264" t="s">
        <v>187</v>
      </c>
      <c r="C38" s="260">
        <v>4754302.4800000004</v>
      </c>
      <c r="D38" s="260"/>
      <c r="E38" s="260"/>
      <c r="F38" s="260"/>
      <c r="G38" s="260"/>
      <c r="H38" s="260"/>
      <c r="I38" s="260">
        <v>248000</v>
      </c>
      <c r="J38" s="260">
        <f t="shared" ref="J38:J43" si="3">SUM(C38+I38)</f>
        <v>5002302.4800000004</v>
      </c>
    </row>
    <row r="39" spans="1:10" ht="35.1" customHeight="1" x14ac:dyDescent="0.35">
      <c r="A39" s="262">
        <v>28</v>
      </c>
      <c r="B39" s="264" t="s">
        <v>188</v>
      </c>
      <c r="C39" s="260">
        <v>2377151.2400000002</v>
      </c>
      <c r="D39" s="260"/>
      <c r="E39" s="260"/>
      <c r="F39" s="260"/>
      <c r="G39" s="260"/>
      <c r="H39" s="260"/>
      <c r="I39" s="260">
        <v>124000</v>
      </c>
      <c r="J39" s="260">
        <f t="shared" si="3"/>
        <v>2501151.2400000002</v>
      </c>
    </row>
    <row r="40" spans="1:10" ht="35.1" customHeight="1" x14ac:dyDescent="0.35">
      <c r="A40" s="262">
        <v>29</v>
      </c>
      <c r="B40" s="264" t="s">
        <v>189</v>
      </c>
      <c r="C40" s="260">
        <v>2377151.2400000002</v>
      </c>
      <c r="D40" s="260"/>
      <c r="E40" s="260"/>
      <c r="F40" s="260"/>
      <c r="G40" s="260"/>
      <c r="H40" s="260"/>
      <c r="I40" s="260">
        <v>124000</v>
      </c>
      <c r="J40" s="260">
        <f t="shared" si="3"/>
        <v>2501151.2400000002</v>
      </c>
    </row>
    <row r="41" spans="1:10" ht="35.1" customHeight="1" x14ac:dyDescent="0.35">
      <c r="A41" s="262">
        <v>30</v>
      </c>
      <c r="B41" s="264" t="s">
        <v>190</v>
      </c>
      <c r="C41" s="260">
        <v>4754302.4800000004</v>
      </c>
      <c r="D41" s="260"/>
      <c r="E41" s="260"/>
      <c r="F41" s="260"/>
      <c r="G41" s="260"/>
      <c r="H41" s="260"/>
      <c r="I41" s="260">
        <v>248000</v>
      </c>
      <c r="J41" s="260">
        <f t="shared" si="3"/>
        <v>5002302.4800000004</v>
      </c>
    </row>
    <row r="42" spans="1:10" ht="35.1" customHeight="1" x14ac:dyDescent="0.35">
      <c r="A42" s="262">
        <v>31</v>
      </c>
      <c r="B42" s="264" t="s">
        <v>191</v>
      </c>
      <c r="C42" s="260">
        <v>2377151.2400000002</v>
      </c>
      <c r="D42" s="260"/>
      <c r="E42" s="260"/>
      <c r="F42" s="260"/>
      <c r="G42" s="260"/>
      <c r="H42" s="260"/>
      <c r="I42" s="260">
        <v>124000</v>
      </c>
      <c r="J42" s="260">
        <f t="shared" si="3"/>
        <v>2501151.2400000002</v>
      </c>
    </row>
    <row r="43" spans="1:10" ht="35.1" customHeight="1" x14ac:dyDescent="0.35">
      <c r="A43" s="262">
        <v>32</v>
      </c>
      <c r="B43" s="264" t="s">
        <v>192</v>
      </c>
      <c r="C43" s="260">
        <v>2377151.2400000002</v>
      </c>
      <c r="D43" s="260"/>
      <c r="E43" s="260"/>
      <c r="F43" s="260"/>
      <c r="G43" s="260"/>
      <c r="H43" s="260"/>
      <c r="I43" s="260">
        <v>124000</v>
      </c>
      <c r="J43" s="260">
        <f t="shared" si="3"/>
        <v>2501151.2400000002</v>
      </c>
    </row>
    <row r="44" spans="1:10" ht="32.25" customHeight="1" x14ac:dyDescent="0.35">
      <c r="A44" s="261">
        <v>1</v>
      </c>
      <c r="B44" s="261">
        <v>2</v>
      </c>
      <c r="C44" s="261">
        <v>3</v>
      </c>
      <c r="D44" s="261">
        <v>4</v>
      </c>
      <c r="E44" s="261"/>
      <c r="F44" s="261"/>
      <c r="G44" s="261"/>
      <c r="H44" s="261"/>
      <c r="I44" s="261">
        <v>5</v>
      </c>
      <c r="J44" s="261">
        <v>6</v>
      </c>
    </row>
    <row r="45" spans="1:10" ht="35.1" customHeight="1" x14ac:dyDescent="0.35">
      <c r="A45" s="262">
        <v>33</v>
      </c>
      <c r="B45" s="264" t="s">
        <v>193</v>
      </c>
      <c r="C45" s="260">
        <v>2377151.2400000002</v>
      </c>
      <c r="D45" s="260"/>
      <c r="E45" s="260"/>
      <c r="F45" s="260"/>
      <c r="G45" s="260"/>
      <c r="H45" s="260"/>
      <c r="I45" s="260">
        <v>124000</v>
      </c>
      <c r="J45" s="260">
        <f t="shared" ref="J45:J56" si="4">SUM(C45+I45)</f>
        <v>2501151.2400000002</v>
      </c>
    </row>
    <row r="46" spans="1:10" ht="35.1" customHeight="1" x14ac:dyDescent="0.35">
      <c r="A46" s="262">
        <v>34</v>
      </c>
      <c r="B46" s="264" t="s">
        <v>194</v>
      </c>
      <c r="C46" s="260">
        <v>2377151.2400000002</v>
      </c>
      <c r="D46" s="260"/>
      <c r="E46" s="260"/>
      <c r="F46" s="260"/>
      <c r="G46" s="260"/>
      <c r="H46" s="260"/>
      <c r="I46" s="260">
        <v>884248.6</v>
      </c>
      <c r="J46" s="260">
        <f>SUM(C46:I46)</f>
        <v>3261399.8400000003</v>
      </c>
    </row>
    <row r="47" spans="1:10" ht="35.1" customHeight="1" x14ac:dyDescent="0.35">
      <c r="A47" s="262">
        <v>35</v>
      </c>
      <c r="B47" s="264" t="s">
        <v>195</v>
      </c>
      <c r="C47" s="260">
        <v>2377151.2400000002</v>
      </c>
      <c r="D47" s="260"/>
      <c r="E47" s="260"/>
      <c r="F47" s="260"/>
      <c r="G47" s="260"/>
      <c r="H47" s="260"/>
      <c r="I47" s="260">
        <v>124000</v>
      </c>
      <c r="J47" s="260">
        <f t="shared" si="4"/>
        <v>2501151.2400000002</v>
      </c>
    </row>
    <row r="48" spans="1:10" ht="35.1" customHeight="1" x14ac:dyDescent="0.35">
      <c r="A48" s="262">
        <v>36</v>
      </c>
      <c r="B48" s="264" t="s">
        <v>196</v>
      </c>
      <c r="C48" s="260">
        <v>2377151.2400000002</v>
      </c>
      <c r="D48" s="260"/>
      <c r="E48" s="260"/>
      <c r="F48" s="260"/>
      <c r="G48" s="260"/>
      <c r="H48" s="260"/>
      <c r="I48" s="260">
        <v>124000</v>
      </c>
      <c r="J48" s="260">
        <f t="shared" si="4"/>
        <v>2501151.2400000002</v>
      </c>
    </row>
    <row r="49" spans="1:10" ht="35.1" customHeight="1" x14ac:dyDescent="0.35">
      <c r="A49" s="262">
        <v>37</v>
      </c>
      <c r="B49" s="264" t="s">
        <v>197</v>
      </c>
      <c r="C49" s="260">
        <v>2377151.2400000002</v>
      </c>
      <c r="D49" s="260"/>
      <c r="E49" s="260"/>
      <c r="F49" s="260"/>
      <c r="G49" s="260"/>
      <c r="H49" s="260"/>
      <c r="I49" s="260">
        <v>124000</v>
      </c>
      <c r="J49" s="260">
        <f t="shared" si="4"/>
        <v>2501151.2400000002</v>
      </c>
    </row>
    <row r="50" spans="1:10" ht="35.1" customHeight="1" x14ac:dyDescent="0.35">
      <c r="A50" s="262">
        <v>38</v>
      </c>
      <c r="B50" s="264" t="s">
        <v>198</v>
      </c>
      <c r="C50" s="260">
        <v>2377151.2400000002</v>
      </c>
      <c r="D50" s="260"/>
      <c r="E50" s="260"/>
      <c r="F50" s="260"/>
      <c r="G50" s="260"/>
      <c r="H50" s="260"/>
      <c r="I50" s="260">
        <v>124000</v>
      </c>
      <c r="J50" s="260">
        <f t="shared" si="4"/>
        <v>2501151.2400000002</v>
      </c>
    </row>
    <row r="51" spans="1:10" ht="35.1" customHeight="1" x14ac:dyDescent="0.35">
      <c r="A51" s="262">
        <v>39</v>
      </c>
      <c r="B51" s="264" t="s">
        <v>199</v>
      </c>
      <c r="C51" s="260">
        <v>2377151.2400000002</v>
      </c>
      <c r="D51" s="260"/>
      <c r="E51" s="260"/>
      <c r="F51" s="260"/>
      <c r="G51" s="260"/>
      <c r="H51" s="260"/>
      <c r="I51" s="260">
        <v>124000</v>
      </c>
      <c r="J51" s="260">
        <f t="shared" si="4"/>
        <v>2501151.2400000002</v>
      </c>
    </row>
    <row r="52" spans="1:10" ht="35.1" customHeight="1" x14ac:dyDescent="0.35">
      <c r="A52" s="262">
        <v>40</v>
      </c>
      <c r="B52" s="264" t="s">
        <v>200</v>
      </c>
      <c r="C52" s="260">
        <v>2377151.2400000002</v>
      </c>
      <c r="D52" s="260"/>
      <c r="E52" s="260"/>
      <c r="F52" s="260"/>
      <c r="G52" s="260"/>
      <c r="H52" s="260"/>
      <c r="I52" s="260">
        <v>124000</v>
      </c>
      <c r="J52" s="260">
        <f t="shared" si="4"/>
        <v>2501151.2400000002</v>
      </c>
    </row>
    <row r="53" spans="1:10" ht="35.1" customHeight="1" x14ac:dyDescent="0.35">
      <c r="A53" s="262">
        <v>41</v>
      </c>
      <c r="B53" s="264" t="s">
        <v>201</v>
      </c>
      <c r="C53" s="260">
        <v>2377151.2400000002</v>
      </c>
      <c r="D53" s="260"/>
      <c r="E53" s="260"/>
      <c r="F53" s="260"/>
      <c r="G53" s="260"/>
      <c r="H53" s="260"/>
      <c r="I53" s="260">
        <v>124000</v>
      </c>
      <c r="J53" s="260">
        <f t="shared" si="4"/>
        <v>2501151.2400000002</v>
      </c>
    </row>
    <row r="54" spans="1:10" ht="35.1" customHeight="1" x14ac:dyDescent="0.35">
      <c r="A54" s="262">
        <v>42</v>
      </c>
      <c r="B54" s="264" t="s">
        <v>202</v>
      </c>
      <c r="C54" s="260">
        <v>2377151.2400000002</v>
      </c>
      <c r="D54" s="260"/>
      <c r="E54" s="260"/>
      <c r="F54" s="260"/>
      <c r="G54" s="260"/>
      <c r="H54" s="260"/>
      <c r="I54" s="260">
        <v>124000</v>
      </c>
      <c r="J54" s="260">
        <f t="shared" si="4"/>
        <v>2501151.2400000002</v>
      </c>
    </row>
    <row r="55" spans="1:10" ht="35.1" customHeight="1" x14ac:dyDescent="0.35">
      <c r="A55" s="262">
        <v>43</v>
      </c>
      <c r="B55" s="264" t="s">
        <v>203</v>
      </c>
      <c r="C55" s="260">
        <v>2377151.2400000002</v>
      </c>
      <c r="D55" s="260"/>
      <c r="E55" s="260"/>
      <c r="F55" s="260"/>
      <c r="G55" s="260"/>
      <c r="H55" s="260"/>
      <c r="I55" s="260">
        <v>124000</v>
      </c>
      <c r="J55" s="260">
        <f t="shared" si="4"/>
        <v>2501151.2400000002</v>
      </c>
    </row>
    <row r="56" spans="1:10" ht="35.1" customHeight="1" x14ac:dyDescent="0.35">
      <c r="A56" s="262">
        <v>44</v>
      </c>
      <c r="B56" s="264" t="s">
        <v>204</v>
      </c>
      <c r="C56" s="260">
        <v>2377151.2400000002</v>
      </c>
      <c r="D56" s="260"/>
      <c r="E56" s="260"/>
      <c r="F56" s="260"/>
      <c r="G56" s="260"/>
      <c r="H56" s="260"/>
      <c r="I56" s="260">
        <v>124000</v>
      </c>
      <c r="J56" s="260">
        <f t="shared" si="4"/>
        <v>2501151.2400000002</v>
      </c>
    </row>
    <row r="57" spans="1:10" ht="35.1" customHeight="1" x14ac:dyDescent="0.35">
      <c r="A57" s="262">
        <v>45</v>
      </c>
      <c r="B57" s="264" t="s">
        <v>205</v>
      </c>
      <c r="C57" s="260"/>
      <c r="D57" s="260">
        <v>5554247.3499999996</v>
      </c>
      <c r="E57" s="260"/>
      <c r="F57" s="260"/>
      <c r="G57" s="260"/>
      <c r="H57" s="260"/>
      <c r="I57" s="260">
        <v>227835.12</v>
      </c>
      <c r="J57" s="260">
        <f>SUM(D57+I57)</f>
        <v>5782082.4699999997</v>
      </c>
    </row>
    <row r="58" spans="1:10" ht="35.1" customHeight="1" x14ac:dyDescent="0.35">
      <c r="A58" s="262">
        <v>46</v>
      </c>
      <c r="B58" s="264" t="s">
        <v>206</v>
      </c>
      <c r="C58" s="260">
        <v>2377151.2400000002</v>
      </c>
      <c r="D58" s="260"/>
      <c r="E58" s="260"/>
      <c r="F58" s="260"/>
      <c r="G58" s="260"/>
      <c r="H58" s="260"/>
      <c r="I58" s="260">
        <v>124000</v>
      </c>
      <c r="J58" s="260">
        <f t="shared" ref="J58:J62" si="5">SUM(C58+I58)</f>
        <v>2501151.2400000002</v>
      </c>
    </row>
    <row r="59" spans="1:10" ht="35.1" customHeight="1" x14ac:dyDescent="0.35">
      <c r="A59" s="262">
        <v>47</v>
      </c>
      <c r="B59" s="264" t="s">
        <v>207</v>
      </c>
      <c r="C59" s="260">
        <v>2377151.2400000002</v>
      </c>
      <c r="D59" s="260"/>
      <c r="E59" s="260"/>
      <c r="F59" s="260"/>
      <c r="G59" s="260"/>
      <c r="H59" s="260"/>
      <c r="I59" s="260">
        <v>124000</v>
      </c>
      <c r="J59" s="260">
        <f t="shared" si="5"/>
        <v>2501151.2400000002</v>
      </c>
    </row>
    <row r="60" spans="1:10" ht="35.1" customHeight="1" x14ac:dyDescent="0.35">
      <c r="A60" s="262">
        <v>48</v>
      </c>
      <c r="B60" s="264" t="s">
        <v>208</v>
      </c>
      <c r="C60" s="260">
        <v>2377151.2400000002</v>
      </c>
      <c r="D60" s="260"/>
      <c r="E60" s="260"/>
      <c r="F60" s="260"/>
      <c r="G60" s="260"/>
      <c r="H60" s="260"/>
      <c r="I60" s="260">
        <v>124000</v>
      </c>
      <c r="J60" s="260">
        <f t="shared" si="5"/>
        <v>2501151.2400000002</v>
      </c>
    </row>
    <row r="61" spans="1:10" ht="35.1" customHeight="1" x14ac:dyDescent="0.35">
      <c r="A61" s="262">
        <v>49</v>
      </c>
      <c r="B61" s="264" t="s">
        <v>209</v>
      </c>
      <c r="C61" s="260">
        <v>2377151.2400000002</v>
      </c>
      <c r="D61" s="260"/>
      <c r="E61" s="260"/>
      <c r="F61" s="260"/>
      <c r="G61" s="260"/>
      <c r="H61" s="260"/>
      <c r="I61" s="260">
        <v>124000</v>
      </c>
      <c r="J61" s="260">
        <f t="shared" si="5"/>
        <v>2501151.2400000002</v>
      </c>
    </row>
    <row r="62" spans="1:10" ht="35.1" customHeight="1" x14ac:dyDescent="0.35">
      <c r="A62" s="262">
        <v>50</v>
      </c>
      <c r="B62" s="264" t="s">
        <v>210</v>
      </c>
      <c r="C62" s="260">
        <v>2377151.2400000002</v>
      </c>
      <c r="D62" s="260"/>
      <c r="E62" s="260"/>
      <c r="F62" s="260"/>
      <c r="G62" s="260"/>
      <c r="H62" s="260"/>
      <c r="I62" s="260">
        <v>124000</v>
      </c>
      <c r="J62" s="260">
        <f t="shared" si="5"/>
        <v>2501151.2400000002</v>
      </c>
    </row>
    <row r="63" spans="1:10" ht="32.25" customHeight="1" x14ac:dyDescent="0.35">
      <c r="A63" s="265">
        <v>1</v>
      </c>
      <c r="B63" s="261">
        <v>2</v>
      </c>
      <c r="C63" s="261">
        <v>3</v>
      </c>
      <c r="D63" s="261">
        <v>4</v>
      </c>
      <c r="E63" s="261"/>
      <c r="F63" s="261"/>
      <c r="G63" s="261"/>
      <c r="H63" s="261"/>
      <c r="I63" s="261">
        <v>5</v>
      </c>
      <c r="J63" s="261">
        <v>6</v>
      </c>
    </row>
    <row r="64" spans="1:10" ht="35.1" customHeight="1" x14ac:dyDescent="0.35">
      <c r="A64" s="262">
        <v>51</v>
      </c>
      <c r="B64" s="264" t="s">
        <v>211</v>
      </c>
      <c r="C64" s="260">
        <v>2377151.2400000002</v>
      </c>
      <c r="D64" s="260"/>
      <c r="E64" s="260"/>
      <c r="F64" s="260"/>
      <c r="G64" s="260"/>
      <c r="H64" s="260"/>
      <c r="I64" s="260">
        <v>124000</v>
      </c>
      <c r="J64" s="260">
        <f>SUM(C64+I64)</f>
        <v>2501151.2400000002</v>
      </c>
    </row>
    <row r="65" spans="1:10" ht="35.1" customHeight="1" x14ac:dyDescent="0.35">
      <c r="A65" s="262">
        <v>52</v>
      </c>
      <c r="B65" s="264" t="s">
        <v>212</v>
      </c>
      <c r="C65" s="260">
        <v>2377151.2400000002</v>
      </c>
      <c r="D65" s="260"/>
      <c r="E65" s="260"/>
      <c r="F65" s="260"/>
      <c r="G65" s="260"/>
      <c r="H65" s="260"/>
      <c r="I65" s="260">
        <v>124000</v>
      </c>
      <c r="J65" s="260">
        <f>SUM(C65+I65)</f>
        <v>2501151.2400000002</v>
      </c>
    </row>
    <row r="66" spans="1:10" ht="35.1" customHeight="1" x14ac:dyDescent="0.35">
      <c r="A66" s="165">
        <v>53</v>
      </c>
      <c r="B66" s="266" t="s">
        <v>213</v>
      </c>
      <c r="C66" s="260"/>
      <c r="D66" s="260"/>
      <c r="E66" s="267">
        <v>36092497.159999996</v>
      </c>
      <c r="F66" s="267"/>
      <c r="G66" s="267">
        <v>52776564.729999997</v>
      </c>
      <c r="H66" s="267"/>
      <c r="I66" s="267">
        <v>6128900.8200000003</v>
      </c>
      <c r="J66" s="267">
        <f>E66+G66+I66</f>
        <v>94997962.709999979</v>
      </c>
    </row>
    <row r="67" spans="1:10" ht="35.1" customHeight="1" x14ac:dyDescent="0.35">
      <c r="A67" s="165">
        <v>54</v>
      </c>
      <c r="B67" s="266" t="s">
        <v>214</v>
      </c>
      <c r="C67" s="260"/>
      <c r="D67" s="260"/>
      <c r="E67" s="267">
        <v>22141930.84</v>
      </c>
      <c r="F67" s="267"/>
      <c r="G67" s="267">
        <v>20409089.760000002</v>
      </c>
      <c r="H67" s="267"/>
      <c r="I67" s="267">
        <v>2934553.14</v>
      </c>
      <c r="J67" s="267">
        <f>E67+G67+I67</f>
        <v>45485573.740000002</v>
      </c>
    </row>
    <row r="68" spans="1:10" ht="35.1" customHeight="1" x14ac:dyDescent="0.35">
      <c r="A68" s="262">
        <v>55</v>
      </c>
      <c r="B68" s="264" t="s">
        <v>215</v>
      </c>
      <c r="C68" s="260"/>
      <c r="D68" s="260">
        <v>1851415.78</v>
      </c>
      <c r="E68" s="260"/>
      <c r="F68" s="260"/>
      <c r="G68" s="260"/>
      <c r="H68" s="260"/>
      <c r="I68" s="260">
        <v>75945.039999999994</v>
      </c>
      <c r="J68" s="260">
        <f t="shared" ref="J68:J70" si="6">SUM(D68+I68)</f>
        <v>1927360.82</v>
      </c>
    </row>
    <row r="69" spans="1:10" ht="35.1" customHeight="1" x14ac:dyDescent="0.35">
      <c r="A69" s="262">
        <v>56</v>
      </c>
      <c r="B69" s="264" t="s">
        <v>216</v>
      </c>
      <c r="C69" s="260"/>
      <c r="D69" s="260">
        <v>3702831.57</v>
      </c>
      <c r="E69" s="260"/>
      <c r="F69" s="260"/>
      <c r="G69" s="260"/>
      <c r="H69" s="260"/>
      <c r="I69" s="260">
        <v>151890.07999999999</v>
      </c>
      <c r="J69" s="260">
        <f t="shared" si="6"/>
        <v>3854721.65</v>
      </c>
    </row>
    <row r="70" spans="1:10" ht="35.1" customHeight="1" x14ac:dyDescent="0.35">
      <c r="A70" s="262">
        <v>57</v>
      </c>
      <c r="B70" s="264" t="s">
        <v>217</v>
      </c>
      <c r="C70" s="260"/>
      <c r="D70" s="260">
        <v>3702831.57</v>
      </c>
      <c r="E70" s="260"/>
      <c r="F70" s="260"/>
      <c r="G70" s="260"/>
      <c r="H70" s="260"/>
      <c r="I70" s="260">
        <v>151890.07999999999</v>
      </c>
      <c r="J70" s="260">
        <f t="shared" si="6"/>
        <v>3854721.65</v>
      </c>
    </row>
    <row r="71" spans="1:10" ht="35.1" customHeight="1" x14ac:dyDescent="0.35">
      <c r="A71" s="262">
        <v>58</v>
      </c>
      <c r="B71" s="264" t="s">
        <v>218</v>
      </c>
      <c r="C71" s="260">
        <v>2377151.2400000002</v>
      </c>
      <c r="D71" s="260"/>
      <c r="E71" s="260"/>
      <c r="F71" s="260"/>
      <c r="G71" s="260"/>
      <c r="H71" s="260"/>
      <c r="I71" s="260">
        <v>124000</v>
      </c>
      <c r="J71" s="260">
        <f t="shared" ref="J71:J81" si="7">SUM(C71+I71)</f>
        <v>2501151.2400000002</v>
      </c>
    </row>
    <row r="72" spans="1:10" ht="35.1" customHeight="1" x14ac:dyDescent="0.35">
      <c r="A72" s="262">
        <v>59</v>
      </c>
      <c r="B72" s="264" t="s">
        <v>219</v>
      </c>
      <c r="C72" s="260">
        <v>2377151.2400000002</v>
      </c>
      <c r="D72" s="260"/>
      <c r="E72" s="260"/>
      <c r="F72" s="260"/>
      <c r="G72" s="260"/>
      <c r="H72" s="260"/>
      <c r="I72" s="260">
        <v>124000</v>
      </c>
      <c r="J72" s="260">
        <f t="shared" si="7"/>
        <v>2501151.2400000002</v>
      </c>
    </row>
    <row r="73" spans="1:10" ht="35.1" customHeight="1" x14ac:dyDescent="0.35">
      <c r="A73" s="262">
        <v>60</v>
      </c>
      <c r="B73" s="264" t="s">
        <v>220</v>
      </c>
      <c r="C73" s="260">
        <v>4754302.4800000004</v>
      </c>
      <c r="D73" s="260"/>
      <c r="E73" s="260"/>
      <c r="F73" s="260"/>
      <c r="G73" s="260"/>
      <c r="H73" s="260"/>
      <c r="I73" s="260">
        <v>248000</v>
      </c>
      <c r="J73" s="260">
        <f t="shared" si="7"/>
        <v>5002302.4800000004</v>
      </c>
    </row>
    <row r="74" spans="1:10" ht="35.1" customHeight="1" x14ac:dyDescent="0.35">
      <c r="A74" s="262">
        <v>61</v>
      </c>
      <c r="B74" s="264" t="s">
        <v>221</v>
      </c>
      <c r="C74" s="260">
        <v>2377151.2400000002</v>
      </c>
      <c r="D74" s="260"/>
      <c r="E74" s="260"/>
      <c r="F74" s="260"/>
      <c r="G74" s="260"/>
      <c r="H74" s="260"/>
      <c r="I74" s="260">
        <v>124000</v>
      </c>
      <c r="J74" s="260">
        <f t="shared" si="7"/>
        <v>2501151.2400000002</v>
      </c>
    </row>
    <row r="75" spans="1:10" ht="35.1" customHeight="1" x14ac:dyDescent="0.35">
      <c r="A75" s="262">
        <v>62</v>
      </c>
      <c r="B75" s="264" t="s">
        <v>222</v>
      </c>
      <c r="C75" s="260">
        <v>2377151.2400000002</v>
      </c>
      <c r="D75" s="260"/>
      <c r="E75" s="260"/>
      <c r="F75" s="260"/>
      <c r="G75" s="260"/>
      <c r="H75" s="260"/>
      <c r="I75" s="260">
        <v>124000</v>
      </c>
      <c r="J75" s="260">
        <f t="shared" si="7"/>
        <v>2501151.2400000002</v>
      </c>
    </row>
    <row r="76" spans="1:10" ht="35.1" customHeight="1" x14ac:dyDescent="0.35">
      <c r="A76" s="262">
        <v>63</v>
      </c>
      <c r="B76" s="264" t="s">
        <v>223</v>
      </c>
      <c r="C76" s="260">
        <v>2377151.2400000002</v>
      </c>
      <c r="D76" s="260"/>
      <c r="E76" s="260"/>
      <c r="F76" s="260"/>
      <c r="G76" s="260"/>
      <c r="H76" s="260"/>
      <c r="I76" s="260">
        <v>124000</v>
      </c>
      <c r="J76" s="260">
        <f t="shared" si="7"/>
        <v>2501151.2400000002</v>
      </c>
    </row>
    <row r="77" spans="1:10" ht="35.1" customHeight="1" x14ac:dyDescent="0.35">
      <c r="A77" s="262">
        <v>64</v>
      </c>
      <c r="B77" s="264" t="s">
        <v>224</v>
      </c>
      <c r="C77" s="260">
        <v>2377151.2400000002</v>
      </c>
      <c r="D77" s="260"/>
      <c r="E77" s="260"/>
      <c r="F77" s="260"/>
      <c r="G77" s="260"/>
      <c r="H77" s="260"/>
      <c r="I77" s="260">
        <v>124000</v>
      </c>
      <c r="J77" s="260">
        <f t="shared" si="7"/>
        <v>2501151.2400000002</v>
      </c>
    </row>
    <row r="78" spans="1:10" ht="35.1" customHeight="1" x14ac:dyDescent="0.35">
      <c r="A78" s="262">
        <v>65</v>
      </c>
      <c r="B78" s="264" t="s">
        <v>225</v>
      </c>
      <c r="C78" s="260">
        <v>2377151.2400000002</v>
      </c>
      <c r="D78" s="260"/>
      <c r="E78" s="260"/>
      <c r="F78" s="260"/>
      <c r="G78" s="260"/>
      <c r="H78" s="260"/>
      <c r="I78" s="260">
        <v>124000</v>
      </c>
      <c r="J78" s="260">
        <f t="shared" si="7"/>
        <v>2501151.2400000002</v>
      </c>
    </row>
    <row r="79" spans="1:10" ht="35.1" customHeight="1" x14ac:dyDescent="0.35">
      <c r="A79" s="262">
        <v>66</v>
      </c>
      <c r="B79" s="264" t="s">
        <v>226</v>
      </c>
      <c r="C79" s="260">
        <v>2377151.2400000002</v>
      </c>
      <c r="D79" s="260"/>
      <c r="E79" s="260"/>
      <c r="F79" s="260"/>
      <c r="G79" s="260"/>
      <c r="H79" s="260"/>
      <c r="I79" s="260">
        <v>124000</v>
      </c>
      <c r="J79" s="260">
        <f t="shared" si="7"/>
        <v>2501151.2400000002</v>
      </c>
    </row>
    <row r="80" spans="1:10" ht="35.1" customHeight="1" x14ac:dyDescent="0.35">
      <c r="A80" s="262">
        <v>67</v>
      </c>
      <c r="B80" s="264" t="s">
        <v>227</v>
      </c>
      <c r="C80" s="260">
        <v>2377151.2400000002</v>
      </c>
      <c r="D80" s="260"/>
      <c r="E80" s="260"/>
      <c r="F80" s="260"/>
      <c r="G80" s="260"/>
      <c r="H80" s="260"/>
      <c r="I80" s="260">
        <v>124000</v>
      </c>
      <c r="J80" s="260">
        <f t="shared" si="7"/>
        <v>2501151.2400000002</v>
      </c>
    </row>
    <row r="81" spans="1:10" ht="35.1" customHeight="1" x14ac:dyDescent="0.35">
      <c r="A81" s="262">
        <v>68</v>
      </c>
      <c r="B81" s="264" t="s">
        <v>228</v>
      </c>
      <c r="C81" s="260">
        <v>2377151.2400000002</v>
      </c>
      <c r="D81" s="260"/>
      <c r="E81" s="260"/>
      <c r="F81" s="260"/>
      <c r="G81" s="260"/>
      <c r="H81" s="260"/>
      <c r="I81" s="260">
        <v>124000</v>
      </c>
      <c r="J81" s="260">
        <f t="shared" si="7"/>
        <v>2501151.2400000002</v>
      </c>
    </row>
    <row r="82" spans="1:10" ht="32.25" customHeight="1" x14ac:dyDescent="0.35">
      <c r="A82" s="261">
        <v>1</v>
      </c>
      <c r="B82" s="261">
        <v>2</v>
      </c>
      <c r="C82" s="261">
        <v>3</v>
      </c>
      <c r="D82" s="261">
        <v>4</v>
      </c>
      <c r="E82" s="261"/>
      <c r="F82" s="261"/>
      <c r="G82" s="261"/>
      <c r="H82" s="261"/>
      <c r="I82" s="261">
        <v>5</v>
      </c>
      <c r="J82" s="261">
        <v>6</v>
      </c>
    </row>
    <row r="83" spans="1:10" ht="35.1" customHeight="1" x14ac:dyDescent="0.35">
      <c r="A83" s="262">
        <v>69</v>
      </c>
      <c r="B83" s="264" t="s">
        <v>229</v>
      </c>
      <c r="C83" s="260">
        <v>2377151.2400000002</v>
      </c>
      <c r="D83" s="260"/>
      <c r="E83" s="260"/>
      <c r="F83" s="260"/>
      <c r="G83" s="260"/>
      <c r="H83" s="260"/>
      <c r="I83" s="260">
        <v>124000</v>
      </c>
      <c r="J83" s="260">
        <f t="shared" ref="J83:J86" si="8">SUM(C83+I83)</f>
        <v>2501151.2400000002</v>
      </c>
    </row>
    <row r="84" spans="1:10" ht="35.1" customHeight="1" x14ac:dyDescent="0.35">
      <c r="A84" s="262">
        <v>70</v>
      </c>
      <c r="B84" s="264" t="s">
        <v>230</v>
      </c>
      <c r="C84" s="260">
        <v>2377151.2400000002</v>
      </c>
      <c r="D84" s="260"/>
      <c r="E84" s="260"/>
      <c r="F84" s="260"/>
      <c r="G84" s="260"/>
      <c r="H84" s="260"/>
      <c r="I84" s="260">
        <v>124000</v>
      </c>
      <c r="J84" s="260">
        <f t="shared" si="8"/>
        <v>2501151.2400000002</v>
      </c>
    </row>
    <row r="85" spans="1:10" ht="35.1" customHeight="1" x14ac:dyDescent="0.35">
      <c r="A85" s="262">
        <v>71</v>
      </c>
      <c r="B85" s="264" t="s">
        <v>231</v>
      </c>
      <c r="C85" s="260">
        <v>4754302.4800000004</v>
      </c>
      <c r="D85" s="260"/>
      <c r="E85" s="260"/>
      <c r="F85" s="260"/>
      <c r="G85" s="260"/>
      <c r="H85" s="260"/>
      <c r="I85" s="260">
        <v>248000</v>
      </c>
      <c r="J85" s="260">
        <f t="shared" si="8"/>
        <v>5002302.4800000004</v>
      </c>
    </row>
    <row r="86" spans="1:10" ht="35.1" customHeight="1" x14ac:dyDescent="0.35">
      <c r="A86" s="262">
        <v>72</v>
      </c>
      <c r="B86" s="264" t="s">
        <v>232</v>
      </c>
      <c r="C86" s="260">
        <v>7131453.7199999997</v>
      </c>
      <c r="D86" s="260"/>
      <c r="E86" s="260"/>
      <c r="F86" s="260"/>
      <c r="G86" s="260"/>
      <c r="H86" s="260"/>
      <c r="I86" s="260">
        <v>372000</v>
      </c>
      <c r="J86" s="260">
        <f t="shared" si="8"/>
        <v>7503453.7199999997</v>
      </c>
    </row>
    <row r="87" spans="1:10" ht="35.1" customHeight="1" x14ac:dyDescent="0.35">
      <c r="A87" s="272">
        <v>73</v>
      </c>
      <c r="B87" s="264" t="s">
        <v>233</v>
      </c>
      <c r="C87" s="260"/>
      <c r="D87" s="260">
        <v>1851415.78</v>
      </c>
      <c r="E87" s="260"/>
      <c r="F87" s="260"/>
      <c r="G87" s="260"/>
      <c r="H87" s="260"/>
      <c r="I87" s="260">
        <v>75945.039999999994</v>
      </c>
      <c r="J87" s="260">
        <f t="shared" ref="J87:J100" si="9">SUM(D87+I87)</f>
        <v>1927360.82</v>
      </c>
    </row>
    <row r="88" spans="1:10" ht="35.1" customHeight="1" x14ac:dyDescent="0.35">
      <c r="A88" s="272">
        <v>74</v>
      </c>
      <c r="B88" s="264" t="s">
        <v>234</v>
      </c>
      <c r="C88" s="260"/>
      <c r="D88" s="260">
        <v>3702831.57</v>
      </c>
      <c r="E88" s="260"/>
      <c r="F88" s="260"/>
      <c r="G88" s="260"/>
      <c r="H88" s="260"/>
      <c r="I88" s="260">
        <v>151890.07999999999</v>
      </c>
      <c r="J88" s="260">
        <f t="shared" si="9"/>
        <v>3854721.65</v>
      </c>
    </row>
    <row r="89" spans="1:10" ht="35.1" customHeight="1" x14ac:dyDescent="0.35">
      <c r="A89" s="272">
        <v>75</v>
      </c>
      <c r="B89" s="264" t="s">
        <v>235</v>
      </c>
      <c r="C89" s="260"/>
      <c r="D89" s="260">
        <v>7405663.1399999997</v>
      </c>
      <c r="E89" s="260"/>
      <c r="F89" s="260"/>
      <c r="G89" s="260"/>
      <c r="H89" s="260"/>
      <c r="I89" s="260">
        <v>303780.15999999997</v>
      </c>
      <c r="J89" s="260">
        <f t="shared" si="9"/>
        <v>7709443.2999999998</v>
      </c>
    </row>
    <row r="90" spans="1:10" ht="35.1" customHeight="1" x14ac:dyDescent="0.35">
      <c r="A90" s="272">
        <v>76</v>
      </c>
      <c r="B90" s="264" t="s">
        <v>236</v>
      </c>
      <c r="C90" s="260"/>
      <c r="D90" s="260">
        <v>1851415.78</v>
      </c>
      <c r="E90" s="260"/>
      <c r="F90" s="260"/>
      <c r="G90" s="260"/>
      <c r="H90" s="260"/>
      <c r="I90" s="260">
        <v>75945.039999999994</v>
      </c>
      <c r="J90" s="260">
        <f t="shared" si="9"/>
        <v>1927360.82</v>
      </c>
    </row>
    <row r="91" spans="1:10" ht="35.1" customHeight="1" x14ac:dyDescent="0.35">
      <c r="A91" s="272">
        <v>77</v>
      </c>
      <c r="B91" s="264" t="s">
        <v>237</v>
      </c>
      <c r="C91" s="260"/>
      <c r="D91" s="260">
        <v>1851415.78</v>
      </c>
      <c r="E91" s="260"/>
      <c r="F91" s="260"/>
      <c r="G91" s="260"/>
      <c r="H91" s="260"/>
      <c r="I91" s="260">
        <v>75945.039999999994</v>
      </c>
      <c r="J91" s="260">
        <f t="shared" si="9"/>
        <v>1927360.82</v>
      </c>
    </row>
    <row r="92" spans="1:10" ht="35.1" customHeight="1" x14ac:dyDescent="0.35">
      <c r="A92" s="272">
        <v>78</v>
      </c>
      <c r="B92" s="264" t="s">
        <v>238</v>
      </c>
      <c r="C92" s="260"/>
      <c r="D92" s="260">
        <v>3702831.57</v>
      </c>
      <c r="E92" s="260"/>
      <c r="F92" s="260"/>
      <c r="G92" s="260"/>
      <c r="H92" s="260"/>
      <c r="I92" s="260">
        <v>151890.07999999999</v>
      </c>
      <c r="J92" s="260">
        <f t="shared" si="9"/>
        <v>3854721.65</v>
      </c>
    </row>
    <row r="93" spans="1:10" ht="35.1" customHeight="1" x14ac:dyDescent="0.35">
      <c r="A93" s="272">
        <v>79</v>
      </c>
      <c r="B93" s="264" t="s">
        <v>239</v>
      </c>
      <c r="C93" s="260"/>
      <c r="D93" s="260">
        <v>1851415.78</v>
      </c>
      <c r="E93" s="260"/>
      <c r="F93" s="260"/>
      <c r="G93" s="260"/>
      <c r="H93" s="260"/>
      <c r="I93" s="260">
        <v>75945.039999999994</v>
      </c>
      <c r="J93" s="260">
        <f t="shared" si="9"/>
        <v>1927360.82</v>
      </c>
    </row>
    <row r="94" spans="1:10" ht="35.1" customHeight="1" x14ac:dyDescent="0.35">
      <c r="A94" s="272">
        <v>80</v>
      </c>
      <c r="B94" s="264" t="s">
        <v>240</v>
      </c>
      <c r="C94" s="260"/>
      <c r="D94" s="260">
        <v>1851415.78</v>
      </c>
      <c r="E94" s="260"/>
      <c r="F94" s="260"/>
      <c r="G94" s="260"/>
      <c r="H94" s="260"/>
      <c r="I94" s="260">
        <v>75945.039999999994</v>
      </c>
      <c r="J94" s="260">
        <f t="shared" si="9"/>
        <v>1927360.82</v>
      </c>
    </row>
    <row r="95" spans="1:10" ht="35.1" customHeight="1" x14ac:dyDescent="0.35">
      <c r="A95" s="272">
        <v>81</v>
      </c>
      <c r="B95" s="264" t="s">
        <v>241</v>
      </c>
      <c r="C95" s="260"/>
      <c r="D95" s="260">
        <v>3702831.57</v>
      </c>
      <c r="E95" s="260"/>
      <c r="F95" s="260"/>
      <c r="G95" s="260"/>
      <c r="H95" s="260"/>
      <c r="I95" s="260">
        <v>151890.07999999999</v>
      </c>
      <c r="J95" s="260">
        <f t="shared" si="9"/>
        <v>3854721.65</v>
      </c>
    </row>
    <row r="96" spans="1:10" ht="35.1" customHeight="1" x14ac:dyDescent="0.35">
      <c r="A96" s="272">
        <v>82</v>
      </c>
      <c r="B96" s="264" t="s">
        <v>242</v>
      </c>
      <c r="C96" s="260"/>
      <c r="D96" s="260">
        <v>7405663.1399999997</v>
      </c>
      <c r="E96" s="260"/>
      <c r="F96" s="260"/>
      <c r="G96" s="260"/>
      <c r="H96" s="260"/>
      <c r="I96" s="260">
        <v>303780.15999999997</v>
      </c>
      <c r="J96" s="260">
        <f t="shared" si="9"/>
        <v>7709443.2999999998</v>
      </c>
    </row>
    <row r="97" spans="1:10" ht="35.1" customHeight="1" x14ac:dyDescent="0.35">
      <c r="A97" s="272">
        <v>83</v>
      </c>
      <c r="B97" s="264" t="s">
        <v>243</v>
      </c>
      <c r="C97" s="260"/>
      <c r="D97" s="260">
        <v>1851415.78</v>
      </c>
      <c r="E97" s="260"/>
      <c r="F97" s="260"/>
      <c r="G97" s="260"/>
      <c r="H97" s="260"/>
      <c r="I97" s="260">
        <v>75945.039999999994</v>
      </c>
      <c r="J97" s="260">
        <f t="shared" si="9"/>
        <v>1927360.82</v>
      </c>
    </row>
    <row r="98" spans="1:10" ht="35.1" customHeight="1" x14ac:dyDescent="0.35">
      <c r="A98" s="272">
        <v>84</v>
      </c>
      <c r="B98" s="264" t="s">
        <v>244</v>
      </c>
      <c r="C98" s="260"/>
      <c r="D98" s="260">
        <v>7405663.1399999997</v>
      </c>
      <c r="E98" s="260"/>
      <c r="F98" s="260"/>
      <c r="G98" s="260"/>
      <c r="H98" s="260"/>
      <c r="I98" s="260">
        <v>303780.15999999997</v>
      </c>
      <c r="J98" s="260">
        <f t="shared" si="9"/>
        <v>7709443.2999999998</v>
      </c>
    </row>
    <row r="99" spans="1:10" ht="35.1" customHeight="1" x14ac:dyDescent="0.35">
      <c r="A99" s="272">
        <v>85</v>
      </c>
      <c r="B99" s="264" t="s">
        <v>245</v>
      </c>
      <c r="C99" s="260"/>
      <c r="D99" s="260">
        <v>1851415.78</v>
      </c>
      <c r="E99" s="260"/>
      <c r="F99" s="260"/>
      <c r="G99" s="260"/>
      <c r="H99" s="260"/>
      <c r="I99" s="260">
        <v>75945.039999999994</v>
      </c>
      <c r="J99" s="260">
        <f t="shared" si="9"/>
        <v>1927360.82</v>
      </c>
    </row>
    <row r="100" spans="1:10" ht="35.1" customHeight="1" x14ac:dyDescent="0.35">
      <c r="A100" s="272">
        <v>86</v>
      </c>
      <c r="B100" s="264" t="s">
        <v>246</v>
      </c>
      <c r="C100" s="260"/>
      <c r="D100" s="260">
        <v>3702831.57</v>
      </c>
      <c r="E100" s="260"/>
      <c r="F100" s="260"/>
      <c r="G100" s="260"/>
      <c r="H100" s="260"/>
      <c r="I100" s="260">
        <v>151890.07999999999</v>
      </c>
      <c r="J100" s="260">
        <f t="shared" si="9"/>
        <v>3854721.65</v>
      </c>
    </row>
    <row r="101" spans="1:10" ht="32.25" customHeight="1" x14ac:dyDescent="0.35">
      <c r="A101" s="261">
        <v>1</v>
      </c>
      <c r="B101" s="261">
        <v>2</v>
      </c>
      <c r="C101" s="261">
        <v>3</v>
      </c>
      <c r="D101" s="261">
        <v>4</v>
      </c>
      <c r="E101" s="261"/>
      <c r="F101" s="261"/>
      <c r="G101" s="261"/>
      <c r="H101" s="261"/>
      <c r="I101" s="261">
        <v>5</v>
      </c>
      <c r="J101" s="261">
        <v>6</v>
      </c>
    </row>
    <row r="102" spans="1:10" ht="35.1" customHeight="1" x14ac:dyDescent="0.35">
      <c r="A102" s="272">
        <v>87</v>
      </c>
      <c r="B102" s="264" t="s">
        <v>247</v>
      </c>
      <c r="C102" s="260">
        <v>2377151.2400000002</v>
      </c>
      <c r="D102" s="260"/>
      <c r="E102" s="260"/>
      <c r="F102" s="260"/>
      <c r="G102" s="260"/>
      <c r="H102" s="260"/>
      <c r="I102" s="260">
        <v>124000</v>
      </c>
      <c r="J102" s="260">
        <f t="shared" ref="J102:J104" si="10">SUM(C102+I102)</f>
        <v>2501151.2400000002</v>
      </c>
    </row>
    <row r="103" spans="1:10" ht="35.1" customHeight="1" x14ac:dyDescent="0.35">
      <c r="A103" s="272">
        <v>88</v>
      </c>
      <c r="B103" s="264" t="s">
        <v>248</v>
      </c>
      <c r="C103" s="260">
        <v>2377151.2400000002</v>
      </c>
      <c r="D103" s="260"/>
      <c r="E103" s="260"/>
      <c r="F103" s="260"/>
      <c r="G103" s="260"/>
      <c r="H103" s="260"/>
      <c r="I103" s="260">
        <v>124000</v>
      </c>
      <c r="J103" s="260">
        <f t="shared" si="10"/>
        <v>2501151.2400000002</v>
      </c>
    </row>
    <row r="104" spans="1:10" ht="35.1" customHeight="1" x14ac:dyDescent="0.35">
      <c r="A104" s="272">
        <v>89</v>
      </c>
      <c r="B104" s="264" t="s">
        <v>249</v>
      </c>
      <c r="C104" s="260">
        <v>2377151.2400000002</v>
      </c>
      <c r="D104" s="260"/>
      <c r="E104" s="260"/>
      <c r="F104" s="260"/>
      <c r="G104" s="260"/>
      <c r="H104" s="260"/>
      <c r="I104" s="260">
        <v>124000</v>
      </c>
      <c r="J104" s="260">
        <f t="shared" si="10"/>
        <v>2501151.2400000002</v>
      </c>
    </row>
    <row r="105" spans="1:10" ht="35.1" customHeight="1" x14ac:dyDescent="0.35">
      <c r="A105" s="262">
        <v>90</v>
      </c>
      <c r="B105" s="264" t="s">
        <v>250</v>
      </c>
      <c r="C105" s="260"/>
      <c r="D105" s="260">
        <v>5554247.3499999996</v>
      </c>
      <c r="E105" s="260"/>
      <c r="F105" s="260"/>
      <c r="G105" s="260"/>
      <c r="H105" s="260"/>
      <c r="I105" s="260">
        <v>227835.12</v>
      </c>
      <c r="J105" s="260">
        <f t="shared" ref="J105:J119" si="11">SUM(D105+I105)</f>
        <v>5782082.4699999997</v>
      </c>
    </row>
    <row r="106" spans="1:10" ht="35.1" customHeight="1" x14ac:dyDescent="0.35">
      <c r="A106" s="262">
        <v>91</v>
      </c>
      <c r="B106" s="264" t="s">
        <v>251</v>
      </c>
      <c r="C106" s="260"/>
      <c r="D106" s="260">
        <v>7405663.1399999997</v>
      </c>
      <c r="E106" s="260"/>
      <c r="F106" s="260"/>
      <c r="G106" s="260"/>
      <c r="H106" s="260"/>
      <c r="I106" s="260">
        <v>303780.15999999997</v>
      </c>
      <c r="J106" s="260">
        <f t="shared" si="11"/>
        <v>7709443.2999999998</v>
      </c>
    </row>
    <row r="107" spans="1:10" ht="35.1" customHeight="1" x14ac:dyDescent="0.35">
      <c r="A107" s="262">
        <v>92</v>
      </c>
      <c r="B107" s="264" t="s">
        <v>252</v>
      </c>
      <c r="C107" s="260"/>
      <c r="D107" s="260">
        <v>1851415.78</v>
      </c>
      <c r="E107" s="260"/>
      <c r="F107" s="260"/>
      <c r="G107" s="260"/>
      <c r="H107" s="260"/>
      <c r="I107" s="260">
        <v>75945.039999999994</v>
      </c>
      <c r="J107" s="260">
        <f t="shared" si="11"/>
        <v>1927360.82</v>
      </c>
    </row>
    <row r="108" spans="1:10" ht="35.1" customHeight="1" x14ac:dyDescent="0.35">
      <c r="A108" s="262">
        <v>93</v>
      </c>
      <c r="B108" s="264" t="s">
        <v>253</v>
      </c>
      <c r="C108" s="260"/>
      <c r="D108" s="260">
        <v>1851415.78</v>
      </c>
      <c r="E108" s="260"/>
      <c r="F108" s="260"/>
      <c r="G108" s="260"/>
      <c r="H108" s="260"/>
      <c r="I108" s="260">
        <v>75945.039999999994</v>
      </c>
      <c r="J108" s="260">
        <f t="shared" si="11"/>
        <v>1927360.82</v>
      </c>
    </row>
    <row r="109" spans="1:10" ht="35.1" customHeight="1" x14ac:dyDescent="0.35">
      <c r="A109" s="262">
        <v>94</v>
      </c>
      <c r="B109" s="264" t="s">
        <v>254</v>
      </c>
      <c r="C109" s="260"/>
      <c r="D109" s="260">
        <v>3702831.57</v>
      </c>
      <c r="E109" s="260"/>
      <c r="F109" s="260"/>
      <c r="G109" s="260"/>
      <c r="H109" s="260"/>
      <c r="I109" s="260">
        <v>151890.07999999999</v>
      </c>
      <c r="J109" s="260">
        <f t="shared" si="11"/>
        <v>3854721.65</v>
      </c>
    </row>
    <row r="110" spans="1:10" ht="35.1" customHeight="1" x14ac:dyDescent="0.35">
      <c r="A110" s="262">
        <v>95</v>
      </c>
      <c r="B110" s="264" t="s">
        <v>255</v>
      </c>
      <c r="C110" s="260"/>
      <c r="D110" s="260">
        <v>1851415.78</v>
      </c>
      <c r="E110" s="260"/>
      <c r="F110" s="260"/>
      <c r="G110" s="260"/>
      <c r="H110" s="260"/>
      <c r="I110" s="260">
        <v>75945.039999999994</v>
      </c>
      <c r="J110" s="260">
        <f t="shared" si="11"/>
        <v>1927360.82</v>
      </c>
    </row>
    <row r="111" spans="1:10" ht="35.1" customHeight="1" x14ac:dyDescent="0.35">
      <c r="A111" s="262">
        <v>96</v>
      </c>
      <c r="B111" s="264" t="s">
        <v>256</v>
      </c>
      <c r="C111" s="260"/>
      <c r="D111" s="260">
        <v>3702831.57</v>
      </c>
      <c r="E111" s="260"/>
      <c r="F111" s="260"/>
      <c r="G111" s="260"/>
      <c r="H111" s="260"/>
      <c r="I111" s="260">
        <v>151890.07999999999</v>
      </c>
      <c r="J111" s="260">
        <f t="shared" si="11"/>
        <v>3854721.65</v>
      </c>
    </row>
    <row r="112" spans="1:10" ht="35.1" customHeight="1" x14ac:dyDescent="0.35">
      <c r="A112" s="262">
        <v>97</v>
      </c>
      <c r="B112" s="264" t="s">
        <v>257</v>
      </c>
      <c r="C112" s="260"/>
      <c r="D112" s="260">
        <v>7405663.1399999997</v>
      </c>
      <c r="E112" s="260"/>
      <c r="F112" s="260"/>
      <c r="G112" s="260"/>
      <c r="H112" s="260"/>
      <c r="I112" s="260">
        <v>303780.15999999997</v>
      </c>
      <c r="J112" s="260">
        <f t="shared" si="11"/>
        <v>7709443.2999999998</v>
      </c>
    </row>
    <row r="113" spans="1:10" ht="35.1" customHeight="1" x14ac:dyDescent="0.35">
      <c r="A113" s="262">
        <v>98</v>
      </c>
      <c r="B113" s="264" t="s">
        <v>258</v>
      </c>
      <c r="C113" s="260"/>
      <c r="D113" s="260">
        <v>7405663.1399999997</v>
      </c>
      <c r="E113" s="260"/>
      <c r="F113" s="260"/>
      <c r="G113" s="260"/>
      <c r="H113" s="260"/>
      <c r="I113" s="260">
        <v>303780.15999999997</v>
      </c>
      <c r="J113" s="260">
        <f t="shared" si="11"/>
        <v>7709443.2999999998</v>
      </c>
    </row>
    <row r="114" spans="1:10" ht="35.1" customHeight="1" x14ac:dyDescent="0.35">
      <c r="A114" s="262">
        <v>99</v>
      </c>
      <c r="B114" s="264" t="s">
        <v>259</v>
      </c>
      <c r="C114" s="260"/>
      <c r="D114" s="260">
        <v>3702831.57</v>
      </c>
      <c r="E114" s="260"/>
      <c r="F114" s="260"/>
      <c r="G114" s="260"/>
      <c r="H114" s="260"/>
      <c r="I114" s="260">
        <v>151890.07999999999</v>
      </c>
      <c r="J114" s="260">
        <f t="shared" si="11"/>
        <v>3854721.65</v>
      </c>
    </row>
    <row r="115" spans="1:10" ht="35.1" customHeight="1" x14ac:dyDescent="0.35">
      <c r="A115" s="262">
        <v>100</v>
      </c>
      <c r="B115" s="264" t="s">
        <v>260</v>
      </c>
      <c r="C115" s="260"/>
      <c r="D115" s="260">
        <v>7405663.1399999997</v>
      </c>
      <c r="E115" s="260"/>
      <c r="F115" s="260"/>
      <c r="G115" s="260"/>
      <c r="H115" s="260"/>
      <c r="I115" s="260">
        <v>303780.15999999997</v>
      </c>
      <c r="J115" s="260">
        <f t="shared" si="11"/>
        <v>7709443.2999999998</v>
      </c>
    </row>
    <row r="116" spans="1:10" ht="35.1" customHeight="1" x14ac:dyDescent="0.35">
      <c r="A116" s="262">
        <v>101</v>
      </c>
      <c r="B116" s="264" t="s">
        <v>261</v>
      </c>
      <c r="C116" s="260"/>
      <c r="D116" s="260">
        <v>5554247.3499999996</v>
      </c>
      <c r="E116" s="260"/>
      <c r="F116" s="260"/>
      <c r="G116" s="260"/>
      <c r="H116" s="260"/>
      <c r="I116" s="260">
        <v>227835.12</v>
      </c>
      <c r="J116" s="260">
        <f t="shared" si="11"/>
        <v>5782082.4699999997</v>
      </c>
    </row>
    <row r="117" spans="1:10" ht="35.1" customHeight="1" x14ac:dyDescent="0.35">
      <c r="A117" s="262">
        <v>102</v>
      </c>
      <c r="B117" s="264" t="s">
        <v>262</v>
      </c>
      <c r="C117" s="260"/>
      <c r="D117" s="260">
        <v>3702831.57</v>
      </c>
      <c r="E117" s="260"/>
      <c r="F117" s="260"/>
      <c r="G117" s="260"/>
      <c r="H117" s="260"/>
      <c r="I117" s="260">
        <v>151890.07999999999</v>
      </c>
      <c r="J117" s="260">
        <f t="shared" si="11"/>
        <v>3854721.65</v>
      </c>
    </row>
    <row r="118" spans="1:10" ht="35.1" customHeight="1" x14ac:dyDescent="0.35">
      <c r="A118" s="165">
        <v>103</v>
      </c>
      <c r="B118" s="264" t="s">
        <v>263</v>
      </c>
      <c r="C118" s="260"/>
      <c r="D118" s="273">
        <v>4351415.78</v>
      </c>
      <c r="E118" s="273"/>
      <c r="F118" s="273"/>
      <c r="G118" s="273"/>
      <c r="H118" s="273"/>
      <c r="I118" s="273">
        <v>175945.04</v>
      </c>
      <c r="J118" s="273">
        <f t="shared" si="11"/>
        <v>4527360.82</v>
      </c>
    </row>
    <row r="119" spans="1:10" ht="35.1" customHeight="1" x14ac:dyDescent="0.35">
      <c r="A119" s="165">
        <v>104</v>
      </c>
      <c r="B119" s="264" t="s">
        <v>264</v>
      </c>
      <c r="C119" s="260"/>
      <c r="D119" s="273">
        <v>4351415.78</v>
      </c>
      <c r="E119" s="273"/>
      <c r="F119" s="273"/>
      <c r="G119" s="273"/>
      <c r="H119" s="273"/>
      <c r="I119" s="273">
        <v>175945.04</v>
      </c>
      <c r="J119" s="273">
        <f t="shared" si="11"/>
        <v>4527360.82</v>
      </c>
    </row>
    <row r="120" spans="1:10" ht="32.25" customHeight="1" x14ac:dyDescent="0.35">
      <c r="A120" s="261">
        <v>1</v>
      </c>
      <c r="B120" s="261">
        <v>2</v>
      </c>
      <c r="C120" s="261">
        <v>3</v>
      </c>
      <c r="D120" s="261">
        <v>4</v>
      </c>
      <c r="E120" s="261"/>
      <c r="F120" s="261"/>
      <c r="G120" s="261"/>
      <c r="H120" s="261"/>
      <c r="I120" s="261">
        <v>5</v>
      </c>
      <c r="J120" s="261">
        <v>6</v>
      </c>
    </row>
    <row r="121" spans="1:10" ht="35.1" customHeight="1" x14ac:dyDescent="0.35">
      <c r="A121" s="262">
        <v>105</v>
      </c>
      <c r="B121" s="264" t="s">
        <v>265</v>
      </c>
      <c r="C121" s="260"/>
      <c r="D121" s="260">
        <v>3702831.57</v>
      </c>
      <c r="E121" s="260"/>
      <c r="F121" s="260"/>
      <c r="G121" s="260"/>
      <c r="H121" s="260"/>
      <c r="I121" s="260">
        <v>151890.07999999999</v>
      </c>
      <c r="J121" s="260">
        <f t="shared" ref="J121:J123" si="12">SUM(D121+I121)</f>
        <v>3854721.65</v>
      </c>
    </row>
    <row r="122" spans="1:10" ht="35.1" customHeight="1" x14ac:dyDescent="0.35">
      <c r="A122" s="262">
        <v>106</v>
      </c>
      <c r="B122" s="264" t="s">
        <v>266</v>
      </c>
      <c r="C122" s="260"/>
      <c r="D122" s="260">
        <v>3702831.57</v>
      </c>
      <c r="E122" s="260"/>
      <c r="F122" s="260"/>
      <c r="G122" s="260"/>
      <c r="H122" s="260"/>
      <c r="I122" s="260">
        <v>151890.07999999999</v>
      </c>
      <c r="J122" s="260">
        <f t="shared" si="12"/>
        <v>3854721.65</v>
      </c>
    </row>
    <row r="123" spans="1:10" ht="35.1" customHeight="1" x14ac:dyDescent="0.35">
      <c r="A123" s="262">
        <v>107</v>
      </c>
      <c r="B123" s="264" t="s">
        <v>267</v>
      </c>
      <c r="C123" s="260"/>
      <c r="D123" s="260">
        <v>11108494.710000001</v>
      </c>
      <c r="E123" s="260"/>
      <c r="F123" s="260"/>
      <c r="G123" s="260"/>
      <c r="H123" s="260"/>
      <c r="I123" s="260">
        <v>455670.24</v>
      </c>
      <c r="J123" s="260">
        <f t="shared" si="12"/>
        <v>11564164.950000001</v>
      </c>
    </row>
    <row r="124" spans="1:10" ht="35.1" customHeight="1" x14ac:dyDescent="0.35">
      <c r="A124" s="165">
        <v>108</v>
      </c>
      <c r="B124" s="266" t="s">
        <v>268</v>
      </c>
      <c r="C124" s="260"/>
      <c r="D124" s="260"/>
      <c r="E124" s="267">
        <v>36033024.869999997</v>
      </c>
      <c r="F124" s="267"/>
      <c r="G124" s="267">
        <v>32111179.969999999</v>
      </c>
      <c r="H124" s="267"/>
      <c r="I124" s="267">
        <v>2485036.2000000002</v>
      </c>
      <c r="J124" s="267">
        <f t="shared" ref="J124:J135" si="13">E124+G124+I124</f>
        <v>70629241.040000007</v>
      </c>
    </row>
    <row r="125" spans="1:10" ht="35.1" customHeight="1" x14ac:dyDescent="0.35">
      <c r="A125" s="165">
        <v>109</v>
      </c>
      <c r="B125" s="266" t="s">
        <v>269</v>
      </c>
      <c r="C125" s="260"/>
      <c r="D125" s="260"/>
      <c r="E125" s="267">
        <v>31193404.390000001</v>
      </c>
      <c r="F125" s="267"/>
      <c r="G125" s="267"/>
      <c r="H125" s="267"/>
      <c r="I125" s="267">
        <v>2151269.27</v>
      </c>
      <c r="J125" s="267">
        <f t="shared" si="13"/>
        <v>33344673.66</v>
      </c>
    </row>
    <row r="126" spans="1:10" ht="35.1" customHeight="1" x14ac:dyDescent="0.35">
      <c r="A126" s="165">
        <v>110</v>
      </c>
      <c r="B126" s="266" t="s">
        <v>270</v>
      </c>
      <c r="C126" s="260"/>
      <c r="D126" s="260"/>
      <c r="E126" s="267">
        <v>23458150.710000001</v>
      </c>
      <c r="F126" s="267"/>
      <c r="G126" s="267"/>
      <c r="H126" s="267"/>
      <c r="I126" s="267">
        <v>1617803.5</v>
      </c>
      <c r="J126" s="267">
        <f t="shared" si="13"/>
        <v>25075954.210000001</v>
      </c>
    </row>
    <row r="127" spans="1:10" ht="35.1" customHeight="1" x14ac:dyDescent="0.35">
      <c r="A127" s="165">
        <v>111</v>
      </c>
      <c r="B127" s="266" t="s">
        <v>271</v>
      </c>
      <c r="C127" s="260"/>
      <c r="D127" s="260"/>
      <c r="E127" s="267">
        <v>11110400.130000001</v>
      </c>
      <c r="F127" s="267"/>
      <c r="G127" s="267"/>
      <c r="H127" s="267"/>
      <c r="I127" s="267">
        <v>766234.49</v>
      </c>
      <c r="J127" s="267">
        <f t="shared" si="13"/>
        <v>11876634.620000001</v>
      </c>
    </row>
    <row r="128" spans="1:10" ht="35.1" customHeight="1" x14ac:dyDescent="0.35">
      <c r="A128" s="165">
        <v>112</v>
      </c>
      <c r="B128" s="266" t="s">
        <v>272</v>
      </c>
      <c r="C128" s="260"/>
      <c r="D128" s="260"/>
      <c r="E128" s="267">
        <v>28460421.690000001</v>
      </c>
      <c r="F128" s="267"/>
      <c r="G128" s="267"/>
      <c r="H128" s="267"/>
      <c r="I128" s="267">
        <v>1962787.7</v>
      </c>
      <c r="J128" s="267">
        <f t="shared" si="13"/>
        <v>30423209.390000001</v>
      </c>
    </row>
    <row r="129" spans="1:10" ht="35.1" customHeight="1" x14ac:dyDescent="0.35">
      <c r="A129" s="165">
        <v>113</v>
      </c>
      <c r="B129" s="266" t="s">
        <v>273</v>
      </c>
      <c r="C129" s="260"/>
      <c r="D129" s="260"/>
      <c r="E129" s="267">
        <v>22098424.039999999</v>
      </c>
      <c r="F129" s="267"/>
      <c r="G129" s="267">
        <v>20368987.829999998</v>
      </c>
      <c r="H129" s="267"/>
      <c r="I129" s="267">
        <v>2928787.03</v>
      </c>
      <c r="J129" s="267">
        <f t="shared" si="13"/>
        <v>45396198.899999999</v>
      </c>
    </row>
    <row r="130" spans="1:10" ht="35.1" customHeight="1" x14ac:dyDescent="0.35">
      <c r="A130" s="165">
        <v>114</v>
      </c>
      <c r="B130" s="266" t="s">
        <v>274</v>
      </c>
      <c r="C130" s="260"/>
      <c r="D130" s="260"/>
      <c r="E130" s="267">
        <v>30438751.719999999</v>
      </c>
      <c r="F130" s="267"/>
      <c r="G130" s="267">
        <v>54179907.479999997</v>
      </c>
      <c r="H130" s="267"/>
      <c r="I130" s="267">
        <v>5835769.5999999996</v>
      </c>
      <c r="J130" s="267">
        <f t="shared" si="13"/>
        <v>90454428.799999982</v>
      </c>
    </row>
    <row r="131" spans="1:10" ht="35.1" customHeight="1" x14ac:dyDescent="0.35">
      <c r="A131" s="165">
        <v>115</v>
      </c>
      <c r="B131" s="266" t="s">
        <v>275</v>
      </c>
      <c r="C131" s="260"/>
      <c r="D131" s="260"/>
      <c r="E131" s="267">
        <v>40927606.289999999</v>
      </c>
      <c r="F131" s="267"/>
      <c r="G131" s="267"/>
      <c r="H131" s="267"/>
      <c r="I131" s="267">
        <v>2822593.54</v>
      </c>
      <c r="J131" s="267">
        <f t="shared" si="13"/>
        <v>43750199.829999998</v>
      </c>
    </row>
    <row r="132" spans="1:10" ht="35.1" customHeight="1" x14ac:dyDescent="0.35">
      <c r="A132" s="165">
        <v>116</v>
      </c>
      <c r="B132" s="266" t="s">
        <v>276</v>
      </c>
      <c r="C132" s="260"/>
      <c r="D132" s="260"/>
      <c r="E132" s="267">
        <v>28805117.300000001</v>
      </c>
      <c r="F132" s="267"/>
      <c r="G132" s="267">
        <v>54587705.189999998</v>
      </c>
      <c r="H132" s="267"/>
      <c r="I132" s="267">
        <v>1986559.81</v>
      </c>
      <c r="J132" s="267">
        <f t="shared" si="13"/>
        <v>85379382.299999997</v>
      </c>
    </row>
    <row r="133" spans="1:10" ht="35.1" customHeight="1" x14ac:dyDescent="0.35">
      <c r="A133" s="165">
        <v>117</v>
      </c>
      <c r="B133" s="266" t="s">
        <v>277</v>
      </c>
      <c r="C133" s="260"/>
      <c r="D133" s="260"/>
      <c r="E133" s="267">
        <v>17676758.920000002</v>
      </c>
      <c r="F133" s="267"/>
      <c r="G133" s="267">
        <v>31464009.16</v>
      </c>
      <c r="H133" s="267"/>
      <c r="I133" s="267">
        <v>0</v>
      </c>
      <c r="J133" s="267">
        <f t="shared" si="13"/>
        <v>49140768.079999998</v>
      </c>
    </row>
    <row r="134" spans="1:10" ht="35.1" customHeight="1" x14ac:dyDescent="0.35">
      <c r="A134" s="165">
        <v>118</v>
      </c>
      <c r="B134" s="266" t="s">
        <v>278</v>
      </c>
      <c r="C134" s="260"/>
      <c r="D134" s="260"/>
      <c r="E134" s="267"/>
      <c r="F134" s="267"/>
      <c r="G134" s="267">
        <v>36621767.93</v>
      </c>
      <c r="H134" s="267"/>
      <c r="I134" s="267">
        <v>0</v>
      </c>
      <c r="J134" s="267">
        <f t="shared" si="13"/>
        <v>36621767.93</v>
      </c>
    </row>
    <row r="135" spans="1:10" ht="35.1" customHeight="1" x14ac:dyDescent="0.35">
      <c r="A135" s="165">
        <v>119</v>
      </c>
      <c r="B135" s="266" t="s">
        <v>279</v>
      </c>
      <c r="C135" s="260"/>
      <c r="D135" s="260"/>
      <c r="E135" s="267"/>
      <c r="F135" s="267"/>
      <c r="G135" s="267">
        <v>27135753.600000001</v>
      </c>
      <c r="H135" s="267"/>
      <c r="I135" s="267">
        <v>1871431.28</v>
      </c>
      <c r="J135" s="267">
        <f t="shared" si="13"/>
        <v>29007184.880000003</v>
      </c>
    </row>
    <row r="136" spans="1:10" ht="35.1" customHeight="1" x14ac:dyDescent="0.35">
      <c r="A136" s="165">
        <v>120</v>
      </c>
      <c r="B136" s="266" t="s">
        <v>280</v>
      </c>
      <c r="C136" s="260"/>
      <c r="D136" s="260"/>
      <c r="E136" s="267">
        <v>29722288.239999998</v>
      </c>
      <c r="F136" s="267">
        <v>2224781.42</v>
      </c>
      <c r="G136" s="267">
        <v>54101026.630000003</v>
      </c>
      <c r="H136" s="267"/>
      <c r="I136" s="267">
        <v>0</v>
      </c>
      <c r="J136" s="267">
        <f>E136+F136+G136+I136</f>
        <v>86048096.289999992</v>
      </c>
    </row>
    <row r="137" spans="1:10" ht="35.1" customHeight="1" x14ac:dyDescent="0.35">
      <c r="A137" s="262">
        <v>121</v>
      </c>
      <c r="B137" s="264" t="s">
        <v>281</v>
      </c>
      <c r="C137" s="260">
        <v>4754302.4800000004</v>
      </c>
      <c r="D137" s="260"/>
      <c r="E137" s="260"/>
      <c r="F137" s="260"/>
      <c r="G137" s="260"/>
      <c r="H137" s="260"/>
      <c r="I137" s="260">
        <v>248000</v>
      </c>
      <c r="J137" s="260">
        <f t="shared" ref="J137:J140" si="14">SUM(C137+I137)</f>
        <v>5002302.4800000004</v>
      </c>
    </row>
    <row r="138" spans="1:10" ht="35.1" customHeight="1" x14ac:dyDescent="0.35">
      <c r="A138" s="262">
        <v>122</v>
      </c>
      <c r="B138" s="264" t="s">
        <v>282</v>
      </c>
      <c r="C138" s="260">
        <v>4754302.4800000004</v>
      </c>
      <c r="D138" s="260"/>
      <c r="E138" s="260"/>
      <c r="F138" s="260"/>
      <c r="G138" s="260"/>
      <c r="H138" s="260"/>
      <c r="I138" s="260">
        <v>248000</v>
      </c>
      <c r="J138" s="260">
        <f t="shared" si="14"/>
        <v>5002302.4800000004</v>
      </c>
    </row>
    <row r="139" spans="1:10" ht="32.25" customHeight="1" x14ac:dyDescent="0.35">
      <c r="A139" s="261">
        <v>1</v>
      </c>
      <c r="B139" s="261">
        <v>2</v>
      </c>
      <c r="C139" s="261">
        <v>3</v>
      </c>
      <c r="D139" s="261">
        <v>4</v>
      </c>
      <c r="E139" s="261"/>
      <c r="F139" s="261"/>
      <c r="G139" s="261"/>
      <c r="H139" s="261"/>
      <c r="I139" s="261">
        <v>5</v>
      </c>
      <c r="J139" s="261">
        <v>6</v>
      </c>
    </row>
    <row r="140" spans="1:10" ht="35.1" customHeight="1" x14ac:dyDescent="0.35">
      <c r="A140" s="262">
        <v>123</v>
      </c>
      <c r="B140" s="264" t="s">
        <v>283</v>
      </c>
      <c r="C140" s="260">
        <v>2377151.2400000002</v>
      </c>
      <c r="D140" s="260"/>
      <c r="E140" s="260"/>
      <c r="F140" s="260"/>
      <c r="G140" s="260"/>
      <c r="H140" s="260"/>
      <c r="I140" s="260">
        <v>124000</v>
      </c>
      <c r="J140" s="260">
        <f t="shared" si="14"/>
        <v>2501151.2400000002</v>
      </c>
    </row>
    <row r="141" spans="1:10" ht="35.1" customHeight="1" x14ac:dyDescent="0.35">
      <c r="A141" s="262">
        <v>124</v>
      </c>
      <c r="B141" s="264" t="s">
        <v>284</v>
      </c>
      <c r="C141" s="260"/>
      <c r="D141" s="260">
        <v>3702831.57</v>
      </c>
      <c r="E141" s="260"/>
      <c r="F141" s="260"/>
      <c r="G141" s="260"/>
      <c r="H141" s="260"/>
      <c r="I141" s="260">
        <v>151890.07999999999</v>
      </c>
      <c r="J141" s="260">
        <f t="shared" ref="J141:J143" si="15">SUM(D141+I141)</f>
        <v>3854721.65</v>
      </c>
    </row>
    <row r="142" spans="1:10" ht="35.1" customHeight="1" x14ac:dyDescent="0.35">
      <c r="A142" s="262">
        <v>125</v>
      </c>
      <c r="B142" s="264" t="s">
        <v>285</v>
      </c>
      <c r="C142" s="260"/>
      <c r="D142" s="260">
        <v>3702831.57</v>
      </c>
      <c r="E142" s="260"/>
      <c r="F142" s="260"/>
      <c r="G142" s="260"/>
      <c r="H142" s="260"/>
      <c r="I142" s="260">
        <v>151890.07999999999</v>
      </c>
      <c r="J142" s="260">
        <f t="shared" si="15"/>
        <v>3854721.65</v>
      </c>
    </row>
    <row r="143" spans="1:10" ht="35.1" customHeight="1" x14ac:dyDescent="0.35">
      <c r="A143" s="262">
        <v>126</v>
      </c>
      <c r="B143" s="264" t="s">
        <v>286</v>
      </c>
      <c r="C143" s="260"/>
      <c r="D143" s="260">
        <v>3702831.57</v>
      </c>
      <c r="E143" s="260"/>
      <c r="F143" s="260"/>
      <c r="G143" s="260"/>
      <c r="H143" s="260"/>
      <c r="I143" s="260">
        <v>151890.07999999999</v>
      </c>
      <c r="J143" s="260">
        <f t="shared" si="15"/>
        <v>3854721.65</v>
      </c>
    </row>
    <row r="144" spans="1:10" ht="35.1" customHeight="1" x14ac:dyDescent="0.35">
      <c r="A144" s="262">
        <v>127</v>
      </c>
      <c r="B144" s="264" t="s">
        <v>287</v>
      </c>
      <c r="C144" s="260">
        <v>2377151.2400000002</v>
      </c>
      <c r="D144" s="260"/>
      <c r="E144" s="260"/>
      <c r="F144" s="260"/>
      <c r="G144" s="260"/>
      <c r="H144" s="260"/>
      <c r="I144" s="260">
        <v>124000</v>
      </c>
      <c r="J144" s="260">
        <f t="shared" ref="J144:J155" si="16">SUM(C144+I144)</f>
        <v>2501151.2400000002</v>
      </c>
    </row>
    <row r="145" spans="1:10" ht="35.1" customHeight="1" x14ac:dyDescent="0.35">
      <c r="A145" s="262">
        <v>128</v>
      </c>
      <c r="B145" s="264" t="s">
        <v>288</v>
      </c>
      <c r="C145" s="260"/>
      <c r="D145" s="260">
        <v>3702831.57</v>
      </c>
      <c r="E145" s="260"/>
      <c r="F145" s="260"/>
      <c r="G145" s="260"/>
      <c r="H145" s="260"/>
      <c r="I145" s="260">
        <v>151890.07999999999</v>
      </c>
      <c r="J145" s="260">
        <f t="shared" ref="J145:J147" si="17">SUM(D145+I145)</f>
        <v>3854721.65</v>
      </c>
    </row>
    <row r="146" spans="1:10" ht="35.1" customHeight="1" x14ac:dyDescent="0.35">
      <c r="A146" s="262">
        <v>129</v>
      </c>
      <c r="B146" s="264" t="s">
        <v>289</v>
      </c>
      <c r="C146" s="260"/>
      <c r="D146" s="260">
        <v>1851415.78</v>
      </c>
      <c r="E146" s="260"/>
      <c r="F146" s="260"/>
      <c r="G146" s="260"/>
      <c r="H146" s="260"/>
      <c r="I146" s="260">
        <v>75945.039999999994</v>
      </c>
      <c r="J146" s="260">
        <f t="shared" si="17"/>
        <v>1927360.82</v>
      </c>
    </row>
    <row r="147" spans="1:10" ht="35.1" customHeight="1" x14ac:dyDescent="0.35">
      <c r="A147" s="262">
        <v>130</v>
      </c>
      <c r="B147" s="264" t="s">
        <v>290</v>
      </c>
      <c r="C147" s="260"/>
      <c r="D147" s="260">
        <v>3702831.57</v>
      </c>
      <c r="E147" s="260"/>
      <c r="F147" s="260"/>
      <c r="G147" s="260"/>
      <c r="H147" s="260"/>
      <c r="I147" s="260">
        <v>151890.07999999999</v>
      </c>
      <c r="J147" s="260">
        <f t="shared" si="17"/>
        <v>3854721.65</v>
      </c>
    </row>
    <row r="148" spans="1:10" ht="35.1" customHeight="1" x14ac:dyDescent="0.35">
      <c r="A148" s="262">
        <v>131</v>
      </c>
      <c r="B148" s="264" t="s">
        <v>291</v>
      </c>
      <c r="C148" s="260">
        <v>9508604.9600000009</v>
      </c>
      <c r="D148" s="260"/>
      <c r="E148" s="260"/>
      <c r="F148" s="260"/>
      <c r="G148" s="260"/>
      <c r="H148" s="260"/>
      <c r="I148" s="260">
        <v>496000</v>
      </c>
      <c r="J148" s="260">
        <f t="shared" si="16"/>
        <v>10004604.960000001</v>
      </c>
    </row>
    <row r="149" spans="1:10" ht="35.1" customHeight="1" x14ac:dyDescent="0.35">
      <c r="A149" s="262">
        <v>132</v>
      </c>
      <c r="B149" s="264" t="s">
        <v>292</v>
      </c>
      <c r="C149" s="260">
        <v>7131453.7199999997</v>
      </c>
      <c r="D149" s="260"/>
      <c r="E149" s="260"/>
      <c r="F149" s="260"/>
      <c r="G149" s="260"/>
      <c r="H149" s="260"/>
      <c r="I149" s="260">
        <v>372000</v>
      </c>
      <c r="J149" s="260">
        <f t="shared" si="16"/>
        <v>7503453.7199999997</v>
      </c>
    </row>
    <row r="150" spans="1:10" ht="35.1" customHeight="1" x14ac:dyDescent="0.35">
      <c r="A150" s="262">
        <v>133</v>
      </c>
      <c r="B150" s="264" t="s">
        <v>293</v>
      </c>
      <c r="C150" s="260">
        <v>7131453.7199999997</v>
      </c>
      <c r="D150" s="260"/>
      <c r="E150" s="260"/>
      <c r="F150" s="260"/>
      <c r="G150" s="260"/>
      <c r="H150" s="260"/>
      <c r="I150" s="260">
        <v>372000</v>
      </c>
      <c r="J150" s="260">
        <f t="shared" si="16"/>
        <v>7503453.7199999997</v>
      </c>
    </row>
    <row r="151" spans="1:10" ht="35.1" customHeight="1" x14ac:dyDescent="0.35">
      <c r="A151" s="262">
        <v>134</v>
      </c>
      <c r="B151" s="264" t="s">
        <v>294</v>
      </c>
      <c r="C151" s="260">
        <v>2377151.2400000002</v>
      </c>
      <c r="D151" s="260"/>
      <c r="E151" s="260"/>
      <c r="F151" s="260"/>
      <c r="G151" s="260"/>
      <c r="H151" s="260"/>
      <c r="I151" s="260">
        <v>124000</v>
      </c>
      <c r="J151" s="260">
        <f t="shared" si="16"/>
        <v>2501151.2400000002</v>
      </c>
    </row>
    <row r="152" spans="1:10" ht="35.1" customHeight="1" x14ac:dyDescent="0.35">
      <c r="A152" s="262">
        <v>135</v>
      </c>
      <c r="B152" s="264" t="s">
        <v>295</v>
      </c>
      <c r="C152" s="260">
        <v>4754302.4800000004</v>
      </c>
      <c r="D152" s="260"/>
      <c r="E152" s="260"/>
      <c r="F152" s="260"/>
      <c r="G152" s="260"/>
      <c r="H152" s="260"/>
      <c r="I152" s="260">
        <v>248000</v>
      </c>
      <c r="J152" s="260">
        <f t="shared" si="16"/>
        <v>5002302.4800000004</v>
      </c>
    </row>
    <row r="153" spans="1:10" ht="35.1" customHeight="1" x14ac:dyDescent="0.35">
      <c r="A153" s="262">
        <v>136</v>
      </c>
      <c r="B153" s="264" t="s">
        <v>296</v>
      </c>
      <c r="C153" s="260">
        <v>2377151.2400000002</v>
      </c>
      <c r="D153" s="260"/>
      <c r="E153" s="260"/>
      <c r="F153" s="260"/>
      <c r="G153" s="260"/>
      <c r="H153" s="260"/>
      <c r="I153" s="260">
        <v>124000</v>
      </c>
      <c r="J153" s="260">
        <f t="shared" si="16"/>
        <v>2501151.2400000002</v>
      </c>
    </row>
    <row r="154" spans="1:10" ht="35.1" customHeight="1" x14ac:dyDescent="0.35">
      <c r="A154" s="262">
        <v>137</v>
      </c>
      <c r="B154" s="264" t="s">
        <v>297</v>
      </c>
      <c r="C154" s="260">
        <v>2377151.2400000002</v>
      </c>
      <c r="D154" s="260"/>
      <c r="E154" s="260"/>
      <c r="F154" s="260"/>
      <c r="G154" s="260"/>
      <c r="H154" s="260"/>
      <c r="I154" s="260">
        <v>124000</v>
      </c>
      <c r="J154" s="260">
        <f t="shared" si="16"/>
        <v>2501151.2400000002</v>
      </c>
    </row>
    <row r="155" spans="1:10" ht="35.1" customHeight="1" x14ac:dyDescent="0.35">
      <c r="A155" s="262">
        <v>138</v>
      </c>
      <c r="B155" s="264" t="s">
        <v>298</v>
      </c>
      <c r="C155" s="260">
        <v>2377151.2400000002</v>
      </c>
      <c r="D155" s="260"/>
      <c r="E155" s="260"/>
      <c r="F155" s="260"/>
      <c r="G155" s="260"/>
      <c r="H155" s="260"/>
      <c r="I155" s="260">
        <v>124000</v>
      </c>
      <c r="J155" s="260">
        <f t="shared" si="16"/>
        <v>2501151.2400000002</v>
      </c>
    </row>
    <row r="156" spans="1:10" ht="35.1" customHeight="1" x14ac:dyDescent="0.35">
      <c r="A156" s="262">
        <v>139</v>
      </c>
      <c r="B156" s="264" t="s">
        <v>299</v>
      </c>
      <c r="C156" s="260">
        <v>4754302.4800000004</v>
      </c>
      <c r="D156" s="260">
        <v>3702831.57</v>
      </c>
      <c r="E156" s="260"/>
      <c r="F156" s="260"/>
      <c r="G156" s="260"/>
      <c r="H156" s="260"/>
      <c r="I156" s="260">
        <v>399890.08</v>
      </c>
      <c r="J156" s="260">
        <f t="shared" ref="J156:J162" si="18">SUM(C156:I156)</f>
        <v>8857024.1300000008</v>
      </c>
    </row>
    <row r="157" spans="1:10" ht="35.1" customHeight="1" x14ac:dyDescent="0.35">
      <c r="A157" s="262">
        <v>140</v>
      </c>
      <c r="B157" s="264" t="s">
        <v>300</v>
      </c>
      <c r="C157" s="260">
        <v>4754302.4800000004</v>
      </c>
      <c r="D157" s="260">
        <v>3702831.57</v>
      </c>
      <c r="E157" s="260"/>
      <c r="F157" s="260"/>
      <c r="G157" s="260"/>
      <c r="H157" s="260"/>
      <c r="I157" s="260">
        <v>399890.08</v>
      </c>
      <c r="J157" s="260">
        <f t="shared" si="18"/>
        <v>8857024.1300000008</v>
      </c>
    </row>
    <row r="158" spans="1:10" ht="32.25" customHeight="1" x14ac:dyDescent="0.35">
      <c r="A158" s="261">
        <v>1</v>
      </c>
      <c r="B158" s="261">
        <v>2</v>
      </c>
      <c r="C158" s="261">
        <v>3</v>
      </c>
      <c r="D158" s="261">
        <v>4</v>
      </c>
      <c r="E158" s="261"/>
      <c r="F158" s="261"/>
      <c r="G158" s="261"/>
      <c r="H158" s="261"/>
      <c r="I158" s="261">
        <v>5</v>
      </c>
      <c r="J158" s="261">
        <v>6</v>
      </c>
    </row>
    <row r="159" spans="1:10" ht="35.1" customHeight="1" x14ac:dyDescent="0.35">
      <c r="A159" s="262">
        <v>141</v>
      </c>
      <c r="B159" s="264" t="s">
        <v>301</v>
      </c>
      <c r="C159" s="260">
        <v>4754302.4800000004</v>
      </c>
      <c r="D159" s="260">
        <v>3702831.57</v>
      </c>
      <c r="E159" s="260"/>
      <c r="F159" s="260"/>
      <c r="G159" s="260"/>
      <c r="H159" s="260"/>
      <c r="I159" s="260">
        <v>399890.08</v>
      </c>
      <c r="J159" s="260">
        <f t="shared" si="18"/>
        <v>8857024.1300000008</v>
      </c>
    </row>
    <row r="160" spans="1:10" ht="35.1" customHeight="1" x14ac:dyDescent="0.35">
      <c r="A160" s="262">
        <v>142</v>
      </c>
      <c r="B160" s="264" t="s">
        <v>302</v>
      </c>
      <c r="C160" s="260">
        <v>7131453.7199999997</v>
      </c>
      <c r="D160" s="260">
        <v>5554247.3499999996</v>
      </c>
      <c r="E160" s="260"/>
      <c r="F160" s="260"/>
      <c r="G160" s="260"/>
      <c r="H160" s="260"/>
      <c r="I160" s="260">
        <v>599835.12</v>
      </c>
      <c r="J160" s="260">
        <f t="shared" si="18"/>
        <v>13285536.189999999</v>
      </c>
    </row>
    <row r="161" spans="1:10" ht="35.1" customHeight="1" x14ac:dyDescent="0.35">
      <c r="A161" s="262">
        <v>143</v>
      </c>
      <c r="B161" s="264" t="s">
        <v>303</v>
      </c>
      <c r="C161" s="260">
        <v>11885756.199999999</v>
      </c>
      <c r="D161" s="260">
        <v>9257078.9199999999</v>
      </c>
      <c r="E161" s="260"/>
      <c r="F161" s="260"/>
      <c r="G161" s="260"/>
      <c r="H161" s="260"/>
      <c r="I161" s="260">
        <v>999725.2</v>
      </c>
      <c r="J161" s="260">
        <f t="shared" si="18"/>
        <v>22142560.319999997</v>
      </c>
    </row>
    <row r="162" spans="1:10" ht="35.1" customHeight="1" x14ac:dyDescent="0.35">
      <c r="A162" s="262">
        <v>144</v>
      </c>
      <c r="B162" s="264" t="s">
        <v>304</v>
      </c>
      <c r="C162" s="260">
        <v>7131453.7199999997</v>
      </c>
      <c r="D162" s="260">
        <v>5554247.3499999996</v>
      </c>
      <c r="E162" s="260"/>
      <c r="F162" s="260"/>
      <c r="G162" s="260"/>
      <c r="H162" s="260"/>
      <c r="I162" s="260">
        <v>599835.12</v>
      </c>
      <c r="J162" s="260">
        <f t="shared" si="18"/>
        <v>13285536.189999999</v>
      </c>
    </row>
    <row r="163" spans="1:10" ht="35.1" customHeight="1" x14ac:dyDescent="0.35">
      <c r="A163" s="262">
        <v>145</v>
      </c>
      <c r="B163" s="264" t="s">
        <v>305</v>
      </c>
      <c r="C163" s="260">
        <v>7131453.7199999997</v>
      </c>
      <c r="D163" s="260"/>
      <c r="E163" s="260"/>
      <c r="F163" s="260"/>
      <c r="G163" s="260"/>
      <c r="H163" s="260"/>
      <c r="I163" s="260">
        <v>372000</v>
      </c>
      <c r="J163" s="260">
        <f t="shared" ref="J163:J168" si="19">SUM(C163+I163)</f>
        <v>7503453.7199999997</v>
      </c>
    </row>
    <row r="164" spans="1:10" ht="35.1" customHeight="1" x14ac:dyDescent="0.35">
      <c r="A164" s="165">
        <v>146</v>
      </c>
      <c r="B164" s="274" t="s">
        <v>306</v>
      </c>
      <c r="C164" s="260">
        <v>2377151.2400000002</v>
      </c>
      <c r="D164" s="260"/>
      <c r="E164" s="260">
        <v>15132111.109999999</v>
      </c>
      <c r="F164" s="260"/>
      <c r="G164" s="260">
        <v>20640142.640000001</v>
      </c>
      <c r="H164" s="260"/>
      <c r="I164" s="260">
        <v>2591051.98</v>
      </c>
      <c r="J164" s="260">
        <f t="shared" ref="J164:J166" si="20">C164+D164+E164+F164+G164+H164+I164</f>
        <v>40740456.969999999</v>
      </c>
    </row>
    <row r="165" spans="1:10" ht="35.1" customHeight="1" x14ac:dyDescent="0.35">
      <c r="A165" s="165">
        <v>147</v>
      </c>
      <c r="B165" s="274" t="s">
        <v>307</v>
      </c>
      <c r="C165" s="260">
        <v>2377151.2400000002</v>
      </c>
      <c r="D165" s="275"/>
      <c r="E165" s="260">
        <v>12804094.01</v>
      </c>
      <c r="F165" s="260"/>
      <c r="G165" s="260">
        <v>18617829.530000001</v>
      </c>
      <c r="H165" s="260"/>
      <c r="I165" s="260">
        <v>2291029.21</v>
      </c>
      <c r="J165" s="260">
        <f t="shared" si="20"/>
        <v>36090103.990000002</v>
      </c>
    </row>
    <row r="166" spans="1:10" ht="35.1" customHeight="1" x14ac:dyDescent="0.35">
      <c r="A166" s="165">
        <v>148</v>
      </c>
      <c r="B166" s="266" t="s">
        <v>308</v>
      </c>
      <c r="C166" s="260"/>
      <c r="D166" s="275"/>
      <c r="E166" s="260">
        <v>11503615.5</v>
      </c>
      <c r="F166" s="260"/>
      <c r="G166" s="260">
        <v>15785947.65</v>
      </c>
      <c r="H166" s="260"/>
      <c r="I166" s="260">
        <v>1882038.83</v>
      </c>
      <c r="J166" s="260">
        <f t="shared" si="20"/>
        <v>29171601.979999997</v>
      </c>
    </row>
    <row r="167" spans="1:10" ht="35.1" customHeight="1" x14ac:dyDescent="0.35">
      <c r="A167" s="281">
        <v>149</v>
      </c>
      <c r="B167" s="276" t="s">
        <v>309</v>
      </c>
      <c r="C167" s="260">
        <v>2377151.2400000002</v>
      </c>
      <c r="D167" s="275"/>
      <c r="E167" s="275"/>
      <c r="F167" s="275"/>
      <c r="G167" s="275"/>
      <c r="H167" s="275"/>
      <c r="I167" s="260">
        <v>124000</v>
      </c>
      <c r="J167" s="260">
        <f t="shared" si="19"/>
        <v>2501151.2400000002</v>
      </c>
    </row>
    <row r="168" spans="1:10" ht="35.1" customHeight="1" x14ac:dyDescent="0.35">
      <c r="A168" s="281">
        <v>150</v>
      </c>
      <c r="B168" s="276" t="s">
        <v>310</v>
      </c>
      <c r="C168" s="260">
        <v>2377151.2400000002</v>
      </c>
      <c r="D168" s="275"/>
      <c r="E168" s="275"/>
      <c r="F168" s="275"/>
      <c r="G168" s="275"/>
      <c r="H168" s="275"/>
      <c r="I168" s="260">
        <v>124000</v>
      </c>
      <c r="J168" s="260">
        <f t="shared" si="19"/>
        <v>2501151.2400000002</v>
      </c>
    </row>
    <row r="169" spans="1:10" ht="35.1" customHeight="1" x14ac:dyDescent="0.35">
      <c r="A169" s="165">
        <v>151</v>
      </c>
      <c r="B169" s="274" t="s">
        <v>311</v>
      </c>
      <c r="C169" s="260">
        <v>2377151.2400000002</v>
      </c>
      <c r="D169" s="275"/>
      <c r="E169" s="260">
        <v>15132111.109999999</v>
      </c>
      <c r="F169" s="260"/>
      <c r="G169" s="260">
        <v>19776195.030000001</v>
      </c>
      <c r="H169" s="260"/>
      <c r="I169" s="260">
        <v>2531469.39</v>
      </c>
      <c r="J169" s="260">
        <f>C169+D169+E169+F169+G169+H169+I169</f>
        <v>39816926.770000003</v>
      </c>
    </row>
    <row r="170" spans="1:10" ht="35.1" customHeight="1" x14ac:dyDescent="0.35">
      <c r="A170" s="281">
        <v>152</v>
      </c>
      <c r="B170" s="276" t="s">
        <v>312</v>
      </c>
      <c r="C170" s="260">
        <v>2377151.2400000002</v>
      </c>
      <c r="D170" s="275"/>
      <c r="E170" s="275"/>
      <c r="F170" s="275"/>
      <c r="G170" s="275"/>
      <c r="H170" s="275"/>
      <c r="I170" s="260">
        <v>124000</v>
      </c>
      <c r="J170" s="260">
        <f t="shared" ref="J170:J172" si="21">SUM(C170+I170)</f>
        <v>2501151.2400000002</v>
      </c>
    </row>
    <row r="171" spans="1:10" ht="35.1" customHeight="1" x14ac:dyDescent="0.35">
      <c r="A171" s="281">
        <v>153</v>
      </c>
      <c r="B171" s="276" t="s">
        <v>313</v>
      </c>
      <c r="C171" s="260">
        <v>2377151.2400000002</v>
      </c>
      <c r="D171" s="275"/>
      <c r="E171" s="275"/>
      <c r="F171" s="275"/>
      <c r="G171" s="275"/>
      <c r="H171" s="275"/>
      <c r="I171" s="260">
        <v>124000</v>
      </c>
      <c r="J171" s="260">
        <f t="shared" si="21"/>
        <v>2501151.2400000002</v>
      </c>
    </row>
    <row r="172" spans="1:10" ht="35.1" customHeight="1" x14ac:dyDescent="0.35">
      <c r="A172" s="281">
        <v>154</v>
      </c>
      <c r="B172" s="276" t="s">
        <v>314</v>
      </c>
      <c r="C172" s="260">
        <v>2377151.2400000002</v>
      </c>
      <c r="D172" s="275"/>
      <c r="E172" s="275"/>
      <c r="F172" s="275"/>
      <c r="G172" s="275"/>
      <c r="H172" s="275"/>
      <c r="I172" s="260">
        <v>124000</v>
      </c>
      <c r="J172" s="260">
        <f t="shared" si="21"/>
        <v>2501151.2400000002</v>
      </c>
    </row>
    <row r="173" spans="1:10" ht="35.1" customHeight="1" x14ac:dyDescent="0.35">
      <c r="A173" s="165">
        <v>155</v>
      </c>
      <c r="B173" s="274" t="s">
        <v>315</v>
      </c>
      <c r="C173" s="260">
        <v>2377151.2400000002</v>
      </c>
      <c r="D173" s="275"/>
      <c r="E173" s="260">
        <v>14911858.550000001</v>
      </c>
      <c r="F173" s="260"/>
      <c r="G173" s="260">
        <v>13138817.699999999</v>
      </c>
      <c r="H173" s="260"/>
      <c r="I173" s="260">
        <v>2058529.4</v>
      </c>
      <c r="J173" s="260">
        <f>SUM(C173:I173)</f>
        <v>32486356.889999997</v>
      </c>
    </row>
    <row r="174" spans="1:10" ht="35.1" customHeight="1" x14ac:dyDescent="0.35">
      <c r="A174" s="281">
        <v>156</v>
      </c>
      <c r="B174" s="276" t="s">
        <v>316</v>
      </c>
      <c r="C174" s="260">
        <v>2377151.2400000002</v>
      </c>
      <c r="D174" s="275"/>
      <c r="E174" s="275"/>
      <c r="F174" s="275"/>
      <c r="G174" s="275"/>
      <c r="H174" s="275"/>
      <c r="I174" s="260">
        <v>124000</v>
      </c>
      <c r="J174" s="260">
        <f t="shared" ref="J174:J186" si="22">SUM(C174+I174)</f>
        <v>2501151.2400000002</v>
      </c>
    </row>
    <row r="175" spans="1:10" ht="35.1" customHeight="1" x14ac:dyDescent="0.35">
      <c r="A175" s="165">
        <v>157</v>
      </c>
      <c r="B175" s="266" t="s">
        <v>317</v>
      </c>
      <c r="C175" s="260"/>
      <c r="D175" s="275"/>
      <c r="E175" s="260">
        <v>14916020.07</v>
      </c>
      <c r="F175" s="260"/>
      <c r="G175" s="260">
        <v>13142484.41</v>
      </c>
      <c r="H175" s="260"/>
      <c r="I175" s="260">
        <v>1935069.28</v>
      </c>
      <c r="J175" s="260">
        <f>SUM(E175+G175+I175)</f>
        <v>29993573.760000002</v>
      </c>
    </row>
    <row r="176" spans="1:10" ht="35.1" customHeight="1" x14ac:dyDescent="0.35">
      <c r="A176" s="281">
        <v>158</v>
      </c>
      <c r="B176" s="276" t="s">
        <v>318</v>
      </c>
      <c r="C176" s="260">
        <v>2377151.2400000002</v>
      </c>
      <c r="D176" s="275"/>
      <c r="E176" s="275"/>
      <c r="F176" s="275"/>
      <c r="G176" s="275"/>
      <c r="H176" s="275"/>
      <c r="I176" s="260">
        <v>124000</v>
      </c>
      <c r="J176" s="260">
        <f t="shared" si="22"/>
        <v>2501151.2400000002</v>
      </c>
    </row>
    <row r="177" spans="1:10" ht="32.25" customHeight="1" x14ac:dyDescent="0.35">
      <c r="A177" s="261">
        <v>1</v>
      </c>
      <c r="B177" s="261">
        <v>2</v>
      </c>
      <c r="C177" s="261">
        <v>3</v>
      </c>
      <c r="D177" s="261">
        <v>4</v>
      </c>
      <c r="E177" s="261"/>
      <c r="F177" s="261"/>
      <c r="G177" s="261"/>
      <c r="H177" s="261"/>
      <c r="I177" s="261">
        <v>5</v>
      </c>
      <c r="J177" s="261">
        <v>6</v>
      </c>
    </row>
    <row r="178" spans="1:10" ht="35.1" customHeight="1" x14ac:dyDescent="0.35">
      <c r="A178" s="281">
        <v>159</v>
      </c>
      <c r="B178" s="276" t="s">
        <v>319</v>
      </c>
      <c r="C178" s="260">
        <v>2377151.2400000002</v>
      </c>
      <c r="D178" s="275"/>
      <c r="E178" s="275"/>
      <c r="F178" s="275"/>
      <c r="G178" s="275"/>
      <c r="H178" s="275"/>
      <c r="I178" s="260">
        <v>124000</v>
      </c>
      <c r="J178" s="260">
        <f t="shared" si="22"/>
        <v>2501151.2400000002</v>
      </c>
    </row>
    <row r="179" spans="1:10" ht="35.1" customHeight="1" x14ac:dyDescent="0.35">
      <c r="A179" s="281">
        <v>160</v>
      </c>
      <c r="B179" s="276" t="s">
        <v>320</v>
      </c>
      <c r="C179" s="260">
        <v>2377151.2400000002</v>
      </c>
      <c r="D179" s="275"/>
      <c r="E179" s="275"/>
      <c r="F179" s="275"/>
      <c r="G179" s="275"/>
      <c r="H179" s="275"/>
      <c r="I179" s="260">
        <v>124000</v>
      </c>
      <c r="J179" s="260">
        <f t="shared" si="22"/>
        <v>2501151.2400000002</v>
      </c>
    </row>
    <row r="180" spans="1:10" ht="35.1" customHeight="1" x14ac:dyDescent="0.35">
      <c r="A180" s="281">
        <v>161</v>
      </c>
      <c r="B180" s="276" t="s">
        <v>321</v>
      </c>
      <c r="C180" s="260">
        <v>2377151.2400000002</v>
      </c>
      <c r="D180" s="275"/>
      <c r="E180" s="275"/>
      <c r="F180" s="275"/>
      <c r="G180" s="275"/>
      <c r="H180" s="275"/>
      <c r="I180" s="260">
        <v>124000</v>
      </c>
      <c r="J180" s="260">
        <f t="shared" si="22"/>
        <v>2501151.2400000002</v>
      </c>
    </row>
    <row r="181" spans="1:10" ht="35.1" customHeight="1" x14ac:dyDescent="0.35">
      <c r="A181" s="281">
        <v>162</v>
      </c>
      <c r="B181" s="276" t="s">
        <v>322</v>
      </c>
      <c r="C181" s="260">
        <v>2377151.2400000002</v>
      </c>
      <c r="D181" s="275"/>
      <c r="E181" s="275"/>
      <c r="F181" s="275"/>
      <c r="G181" s="275"/>
      <c r="H181" s="275"/>
      <c r="I181" s="260">
        <v>124000</v>
      </c>
      <c r="J181" s="260">
        <f t="shared" si="22"/>
        <v>2501151.2400000002</v>
      </c>
    </row>
    <row r="182" spans="1:10" ht="35.1" customHeight="1" x14ac:dyDescent="0.35">
      <c r="A182" s="281">
        <v>163</v>
      </c>
      <c r="B182" s="276" t="s">
        <v>323</v>
      </c>
      <c r="C182" s="260">
        <v>2377151.2400000002</v>
      </c>
      <c r="D182" s="275"/>
      <c r="E182" s="275"/>
      <c r="F182" s="275"/>
      <c r="G182" s="275"/>
      <c r="H182" s="275"/>
      <c r="I182" s="260">
        <v>124000</v>
      </c>
      <c r="J182" s="260">
        <f t="shared" si="22"/>
        <v>2501151.2400000002</v>
      </c>
    </row>
    <row r="183" spans="1:10" ht="35.1" customHeight="1" x14ac:dyDescent="0.35">
      <c r="A183" s="281">
        <v>164</v>
      </c>
      <c r="B183" s="276" t="s">
        <v>324</v>
      </c>
      <c r="C183" s="260">
        <v>2377151.2400000002</v>
      </c>
      <c r="D183" s="275"/>
      <c r="E183" s="275"/>
      <c r="F183" s="275"/>
      <c r="G183" s="275"/>
      <c r="H183" s="275"/>
      <c r="I183" s="260">
        <v>124000</v>
      </c>
      <c r="J183" s="260">
        <f t="shared" si="22"/>
        <v>2501151.2400000002</v>
      </c>
    </row>
    <row r="184" spans="1:10" ht="35.1" customHeight="1" x14ac:dyDescent="0.35">
      <c r="A184" s="281">
        <v>165</v>
      </c>
      <c r="B184" s="276" t="s">
        <v>325</v>
      </c>
      <c r="C184" s="260">
        <v>2377151.2400000002</v>
      </c>
      <c r="D184" s="275"/>
      <c r="E184" s="275"/>
      <c r="F184" s="275"/>
      <c r="G184" s="275"/>
      <c r="H184" s="275"/>
      <c r="I184" s="260">
        <v>124000</v>
      </c>
      <c r="J184" s="260">
        <f t="shared" si="22"/>
        <v>2501151.2400000002</v>
      </c>
    </row>
    <row r="185" spans="1:10" ht="35.1" customHeight="1" x14ac:dyDescent="0.35">
      <c r="A185" s="281">
        <v>166</v>
      </c>
      <c r="B185" s="276" t="s">
        <v>326</v>
      </c>
      <c r="C185" s="260">
        <v>2377151.2400000002</v>
      </c>
      <c r="D185" s="275"/>
      <c r="E185" s="275"/>
      <c r="F185" s="275"/>
      <c r="G185" s="275"/>
      <c r="H185" s="275"/>
      <c r="I185" s="260">
        <v>124000</v>
      </c>
      <c r="J185" s="260">
        <f t="shared" si="22"/>
        <v>2501151.2400000002</v>
      </c>
    </row>
    <row r="186" spans="1:10" ht="35.1" customHeight="1" x14ac:dyDescent="0.35">
      <c r="A186" s="281">
        <v>167</v>
      </c>
      <c r="B186" s="276" t="s">
        <v>327</v>
      </c>
      <c r="C186" s="260">
        <v>4754302.4800000004</v>
      </c>
      <c r="D186" s="260"/>
      <c r="E186" s="260"/>
      <c r="F186" s="260"/>
      <c r="G186" s="260"/>
      <c r="H186" s="260"/>
      <c r="I186" s="260">
        <v>248000</v>
      </c>
      <c r="J186" s="260">
        <f t="shared" si="22"/>
        <v>5002302.4800000004</v>
      </c>
    </row>
    <row r="187" spans="1:10" ht="35.1" customHeight="1" x14ac:dyDescent="0.35">
      <c r="A187" s="165">
        <v>168</v>
      </c>
      <c r="B187" s="276" t="s">
        <v>328</v>
      </c>
      <c r="C187" s="275"/>
      <c r="D187" s="275">
        <v>7405663.1399999997</v>
      </c>
      <c r="E187" s="275"/>
      <c r="F187" s="275"/>
      <c r="G187" s="275"/>
      <c r="H187" s="275"/>
      <c r="I187" s="275">
        <v>303780.15999999997</v>
      </c>
      <c r="J187" s="260">
        <f t="shared" ref="J187:J190" si="23">SUM(D187+I187)</f>
        <v>7709443.2999999998</v>
      </c>
    </row>
    <row r="188" spans="1:10" ht="35.1" customHeight="1" x14ac:dyDescent="0.35">
      <c r="A188" s="165">
        <v>169</v>
      </c>
      <c r="B188" s="276" t="s">
        <v>329</v>
      </c>
      <c r="C188" s="275"/>
      <c r="D188" s="275">
        <v>3702831.57</v>
      </c>
      <c r="E188" s="275"/>
      <c r="F188" s="275"/>
      <c r="G188" s="275"/>
      <c r="H188" s="275"/>
      <c r="I188" s="275">
        <v>151890.07999999999</v>
      </c>
      <c r="J188" s="260">
        <f t="shared" si="23"/>
        <v>3854721.65</v>
      </c>
    </row>
    <row r="189" spans="1:10" ht="35.1" customHeight="1" x14ac:dyDescent="0.35">
      <c r="A189" s="165">
        <v>170</v>
      </c>
      <c r="B189" s="276" t="s">
        <v>330</v>
      </c>
      <c r="C189" s="275"/>
      <c r="D189" s="275">
        <v>1851415.78</v>
      </c>
      <c r="E189" s="275"/>
      <c r="F189" s="275"/>
      <c r="G189" s="275"/>
      <c r="H189" s="275"/>
      <c r="I189" s="275">
        <v>75945.039999999994</v>
      </c>
      <c r="J189" s="260">
        <f t="shared" si="23"/>
        <v>1927360.82</v>
      </c>
    </row>
    <row r="190" spans="1:10" ht="35.1" customHeight="1" x14ac:dyDescent="0.35">
      <c r="A190" s="165">
        <v>171</v>
      </c>
      <c r="B190" s="276" t="s">
        <v>331</v>
      </c>
      <c r="C190" s="275"/>
      <c r="D190" s="275">
        <v>11108494.710000001</v>
      </c>
      <c r="E190" s="275"/>
      <c r="F190" s="275"/>
      <c r="G190" s="275"/>
      <c r="H190" s="275"/>
      <c r="I190" s="275">
        <v>455670.24</v>
      </c>
      <c r="J190" s="260">
        <f t="shared" si="23"/>
        <v>11564164.950000001</v>
      </c>
    </row>
    <row r="191" spans="1:10" ht="35.1" customHeight="1" x14ac:dyDescent="0.35">
      <c r="A191" s="165">
        <v>172</v>
      </c>
      <c r="B191" s="276" t="s">
        <v>332</v>
      </c>
      <c r="C191" s="260">
        <v>2377151.2400000002</v>
      </c>
      <c r="D191" s="275"/>
      <c r="E191" s="275"/>
      <c r="F191" s="275"/>
      <c r="G191" s="275"/>
      <c r="H191" s="275"/>
      <c r="I191" s="260">
        <v>124000</v>
      </c>
      <c r="J191" s="260">
        <f t="shared" ref="J191:J193" si="24">SUM(C191+I191)</f>
        <v>2501151.2400000002</v>
      </c>
    </row>
    <row r="192" spans="1:10" ht="35.1" customHeight="1" x14ac:dyDescent="0.35">
      <c r="A192" s="165">
        <v>173</v>
      </c>
      <c r="B192" s="276" t="s">
        <v>333</v>
      </c>
      <c r="C192" s="260">
        <v>2377151.2400000002</v>
      </c>
      <c r="D192" s="275"/>
      <c r="E192" s="275"/>
      <c r="F192" s="275"/>
      <c r="G192" s="275"/>
      <c r="H192" s="275"/>
      <c r="I192" s="260">
        <v>124000</v>
      </c>
      <c r="J192" s="260">
        <f t="shared" si="24"/>
        <v>2501151.2400000002</v>
      </c>
    </row>
    <row r="193" spans="1:10" ht="35.1" customHeight="1" x14ac:dyDescent="0.35">
      <c r="A193" s="165">
        <v>174</v>
      </c>
      <c r="B193" s="276" t="s">
        <v>334</v>
      </c>
      <c r="C193" s="260">
        <v>2377151.2400000002</v>
      </c>
      <c r="D193" s="275"/>
      <c r="E193" s="275"/>
      <c r="F193" s="275"/>
      <c r="G193" s="275"/>
      <c r="H193" s="275"/>
      <c r="I193" s="260">
        <v>124000</v>
      </c>
      <c r="J193" s="260">
        <f t="shared" si="24"/>
        <v>2501151.2400000002</v>
      </c>
    </row>
    <row r="194" spans="1:10" ht="35.1" customHeight="1" x14ac:dyDescent="0.35">
      <c r="A194" s="165">
        <v>175</v>
      </c>
      <c r="B194" s="276" t="s">
        <v>335</v>
      </c>
      <c r="C194" s="275"/>
      <c r="D194" s="275">
        <v>1851415.78</v>
      </c>
      <c r="E194" s="275"/>
      <c r="F194" s="275"/>
      <c r="G194" s="275"/>
      <c r="H194" s="275"/>
      <c r="I194" s="275">
        <v>75945.039999999994</v>
      </c>
      <c r="J194" s="260">
        <f t="shared" ref="J194:J199" si="25">SUM(D194+I194)</f>
        <v>1927360.82</v>
      </c>
    </row>
    <row r="195" spans="1:10" ht="35.1" customHeight="1" x14ac:dyDescent="0.35">
      <c r="A195" s="165">
        <v>176</v>
      </c>
      <c r="B195" s="276" t="s">
        <v>336</v>
      </c>
      <c r="C195" s="275"/>
      <c r="D195" s="275">
        <v>3702831.57</v>
      </c>
      <c r="E195" s="275"/>
      <c r="F195" s="275"/>
      <c r="G195" s="275"/>
      <c r="H195" s="275"/>
      <c r="I195" s="275">
        <v>151890.07999999999</v>
      </c>
      <c r="J195" s="260">
        <f t="shared" si="25"/>
        <v>3854721.65</v>
      </c>
    </row>
    <row r="196" spans="1:10" ht="32.25" customHeight="1" x14ac:dyDescent="0.35">
      <c r="A196" s="261">
        <v>1</v>
      </c>
      <c r="B196" s="261">
        <v>2</v>
      </c>
      <c r="C196" s="261">
        <v>3</v>
      </c>
      <c r="D196" s="261">
        <v>4</v>
      </c>
      <c r="E196" s="261"/>
      <c r="F196" s="261"/>
      <c r="G196" s="261"/>
      <c r="H196" s="261"/>
      <c r="I196" s="261">
        <v>5</v>
      </c>
      <c r="J196" s="261">
        <v>6</v>
      </c>
    </row>
    <row r="197" spans="1:10" ht="35.1" customHeight="1" x14ac:dyDescent="0.35">
      <c r="A197" s="165">
        <v>177</v>
      </c>
      <c r="B197" s="276" t="s">
        <v>337</v>
      </c>
      <c r="C197" s="275"/>
      <c r="D197" s="275">
        <v>7405663.1399999997</v>
      </c>
      <c r="E197" s="275"/>
      <c r="F197" s="275"/>
      <c r="G197" s="275"/>
      <c r="H197" s="275"/>
      <c r="I197" s="275">
        <v>303780.15999999997</v>
      </c>
      <c r="J197" s="260">
        <f t="shared" si="25"/>
        <v>7709443.2999999998</v>
      </c>
    </row>
    <row r="198" spans="1:10" ht="35.1" customHeight="1" x14ac:dyDescent="0.35">
      <c r="A198" s="165">
        <v>178</v>
      </c>
      <c r="B198" s="276" t="s">
        <v>338</v>
      </c>
      <c r="C198" s="275"/>
      <c r="D198" s="275">
        <v>9257078.9199999999</v>
      </c>
      <c r="E198" s="275"/>
      <c r="F198" s="275"/>
      <c r="G198" s="275"/>
      <c r="H198" s="275"/>
      <c r="I198" s="275">
        <v>379725.2</v>
      </c>
      <c r="J198" s="260">
        <f t="shared" si="25"/>
        <v>9636804.1199999992</v>
      </c>
    </row>
    <row r="199" spans="1:10" ht="35.1" customHeight="1" x14ac:dyDescent="0.35">
      <c r="A199" s="165">
        <v>179</v>
      </c>
      <c r="B199" s="264" t="s">
        <v>339</v>
      </c>
      <c r="C199" s="260"/>
      <c r="D199" s="260">
        <v>1851415.78</v>
      </c>
      <c r="E199" s="260"/>
      <c r="F199" s="260"/>
      <c r="G199" s="260"/>
      <c r="H199" s="260"/>
      <c r="I199" s="260">
        <v>75945.039999999994</v>
      </c>
      <c r="J199" s="260">
        <f t="shared" si="25"/>
        <v>1927360.82</v>
      </c>
    </row>
    <row r="200" spans="1:10" ht="56.85" customHeight="1" x14ac:dyDescent="0.35">
      <c r="C200" s="277"/>
      <c r="I200" s="277"/>
      <c r="J200" s="277"/>
    </row>
    <row r="201" spans="1:10" ht="15.75" customHeight="1" x14ac:dyDescent="0.35">
      <c r="C201" s="277"/>
      <c r="I201" s="277"/>
      <c r="J201" s="277"/>
    </row>
    <row r="202" spans="1:10" ht="15.75" customHeight="1" x14ac:dyDescent="0.35">
      <c r="I202" s="277"/>
      <c r="J202" s="277"/>
    </row>
    <row r="203" spans="1:10" ht="13.5" customHeight="1" x14ac:dyDescent="0.35">
      <c r="I203" s="277"/>
      <c r="J203" s="277"/>
    </row>
    <row r="204" spans="1:10" ht="15.75" hidden="1" customHeight="1" x14ac:dyDescent="0.35">
      <c r="I204" s="277"/>
      <c r="J204" s="277"/>
    </row>
  </sheetData>
  <mergeCells count="4">
    <mergeCell ref="J1:K1"/>
    <mergeCell ref="J2:K2"/>
    <mergeCell ref="J3:K3"/>
    <mergeCell ref="J4:K4"/>
  </mergeCells>
  <pageMargins left="0.78740157480314998" right="0.511811023622047" top="0.98425196850393704" bottom="0.59055118110236204" header="0" footer="0"/>
  <pageSetup paperSize="9" scale="70" fitToHeight="0" orientation="landscape" r:id="rId1"/>
  <headerFooter differentFirst="1" scaleWithDoc="0" alignWithMargins="0">
    <oddHeader>&amp;C&amp;P</oddHeader>
    <evenHeader>&amp;C&amp;38
&amp;K00+000 4&amp;K000000</evenHeader>
    <firstHeader>&amp;C&amp;50 
&amp;40 &amp;10</firstHeader>
  </headerFooter>
  <colBreaks count="1" manualBreakCount="1">
    <brk id="10" max="35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495"/>
  <sheetViews>
    <sheetView view="pageBreakPreview" topLeftCell="A6" zoomScale="40" zoomScaleNormal="50" zoomScaleSheetLayoutView="40" zoomScalePageLayoutView="40" workbookViewId="0">
      <pane ySplit="1" topLeftCell="A7" activePane="bottomLeft" state="frozen"/>
      <selection pane="bottomLeft" activeCell="A9" sqref="A9:XFD9"/>
    </sheetView>
  </sheetViews>
  <sheetFormatPr defaultColWidth="9" defaultRowHeight="32.4" outlineLevelCol="1" x14ac:dyDescent="0.6"/>
  <cols>
    <col min="1" max="1" width="9" style="129"/>
    <col min="2" max="2" width="7.33203125" style="130" customWidth="1"/>
    <col min="3" max="3" width="45.109375" style="131" customWidth="1"/>
    <col min="4" max="4" width="36.88671875" style="130" customWidth="1" outlineLevel="1"/>
    <col min="5" max="5" width="24.109375" style="130" customWidth="1" outlineLevel="1"/>
    <col min="6" max="6" width="26.88671875" style="130" customWidth="1"/>
    <col min="7" max="7" width="14" style="130" hidden="1" customWidth="1" outlineLevel="1"/>
    <col min="8" max="8" width="10.33203125" style="130" hidden="1" customWidth="1" outlineLevel="1"/>
    <col min="9" max="9" width="10" style="130" hidden="1" customWidth="1" outlineLevel="1"/>
    <col min="10" max="10" width="20.6640625" style="132" hidden="1" customWidth="1" outlineLevel="1"/>
    <col min="11" max="11" width="19.109375" style="133" hidden="1" customWidth="1" outlineLevel="1"/>
    <col min="12" max="12" width="22" style="132" hidden="1" customWidth="1" outlineLevel="1"/>
    <col min="13" max="13" width="10" style="133" hidden="1" customWidth="1" outlineLevel="1"/>
    <col min="14" max="14" width="13.6640625" style="134" hidden="1" customWidth="1" outlineLevel="1"/>
    <col min="15" max="15" width="15.77734375" style="133" hidden="1" customWidth="1" outlineLevel="1"/>
    <col min="16" max="16" width="11.6640625" style="133" hidden="1" customWidth="1" outlineLevel="1"/>
    <col min="17" max="17" width="20.5546875" style="135" customWidth="1" collapsed="1"/>
    <col min="18" max="18" width="23.77734375" style="136" customWidth="1"/>
    <col min="19" max="19" width="22.21875" style="135" customWidth="1"/>
    <col min="20" max="20" width="21.6640625" style="135" customWidth="1"/>
    <col min="21" max="21" width="19" style="135" customWidth="1"/>
    <col min="22" max="22" width="22.33203125" style="135" customWidth="1"/>
    <col min="23" max="23" width="20.88671875" style="135" customWidth="1"/>
    <col min="24" max="24" width="23.109375" style="135" customWidth="1"/>
    <col min="25" max="25" width="22.109375" style="135" customWidth="1"/>
    <col min="26" max="26" width="24.6640625" style="135" customWidth="1"/>
    <col min="27" max="27" width="23.21875" style="135" customWidth="1"/>
    <col min="28" max="28" width="18.6640625" style="135" customWidth="1"/>
    <col min="29" max="29" width="19.77734375" style="135" customWidth="1"/>
    <col min="30" max="30" width="27.109375" style="135" customWidth="1"/>
    <col min="31" max="31" width="28" style="135" customWidth="1"/>
    <col min="32" max="32" width="18.6640625" style="135" customWidth="1"/>
    <col min="33" max="33" width="26.44140625" style="135" customWidth="1"/>
    <col min="34" max="34" width="17.6640625" style="133" customWidth="1"/>
    <col min="35" max="35" width="13.77734375" style="133" customWidth="1"/>
    <col min="36" max="36" width="14.6640625" style="133" customWidth="1"/>
    <col min="37" max="16384" width="9" style="130"/>
  </cols>
  <sheetData>
    <row r="1" spans="1:37" ht="27.75" hidden="1" customHeight="1" x14ac:dyDescent="0.6">
      <c r="AD1" s="351" t="s">
        <v>150</v>
      </c>
      <c r="AE1" s="351"/>
      <c r="AF1" s="351"/>
      <c r="AG1" s="351"/>
      <c r="AH1" s="351"/>
      <c r="AI1" s="351"/>
      <c r="AJ1" s="351"/>
      <c r="AK1" s="351"/>
    </row>
    <row r="2" spans="1:37" ht="387" hidden="1" customHeight="1" x14ac:dyDescent="0.6">
      <c r="AD2" s="351"/>
      <c r="AE2" s="351"/>
      <c r="AF2" s="351"/>
      <c r="AG2" s="351"/>
      <c r="AH2" s="351"/>
      <c r="AI2" s="351"/>
      <c r="AJ2" s="351"/>
      <c r="AK2" s="351"/>
    </row>
    <row r="3" spans="1:37" ht="51" hidden="1" customHeight="1" x14ac:dyDescent="0.6">
      <c r="AD3" s="351"/>
      <c r="AE3" s="351"/>
      <c r="AF3" s="351"/>
      <c r="AG3" s="351"/>
      <c r="AH3" s="351"/>
      <c r="AI3" s="351"/>
      <c r="AJ3" s="351"/>
      <c r="AK3" s="351"/>
    </row>
    <row r="4" spans="1:37" ht="3" hidden="1" customHeight="1" x14ac:dyDescent="0.6">
      <c r="AD4" s="351"/>
      <c r="AE4" s="351"/>
      <c r="AF4" s="351"/>
      <c r="AG4" s="351"/>
      <c r="AH4" s="351"/>
      <c r="AI4" s="351"/>
      <c r="AJ4" s="351"/>
      <c r="AK4" s="351"/>
    </row>
    <row r="5" spans="1:37" ht="18.75" hidden="1" customHeight="1" x14ac:dyDescent="0.6">
      <c r="AD5" s="33"/>
      <c r="AE5" s="33"/>
      <c r="AF5" s="33"/>
      <c r="AG5" s="33"/>
      <c r="AH5" s="34"/>
      <c r="AI5" s="34"/>
      <c r="AJ5" s="34"/>
      <c r="AK5" s="32"/>
    </row>
    <row r="6" spans="1:37" ht="113.25" customHeight="1" x14ac:dyDescent="0.45">
      <c r="A6" s="129" t="s">
        <v>9</v>
      </c>
      <c r="B6" s="137"/>
      <c r="C6" s="138" t="s">
        <v>152</v>
      </c>
      <c r="D6" s="19" t="s">
        <v>340</v>
      </c>
      <c r="E6" s="19" t="s">
        <v>341</v>
      </c>
      <c r="F6" s="19" t="s">
        <v>342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28" t="s">
        <v>343</v>
      </c>
      <c r="R6" s="37" t="s">
        <v>344</v>
      </c>
      <c r="S6" s="28" t="s">
        <v>345</v>
      </c>
      <c r="T6" s="28" t="s">
        <v>346</v>
      </c>
      <c r="U6" s="28" t="s">
        <v>347</v>
      </c>
      <c r="V6" s="28" t="s">
        <v>348</v>
      </c>
      <c r="W6" s="28" t="s">
        <v>349</v>
      </c>
      <c r="X6" s="28" t="s">
        <v>350</v>
      </c>
      <c r="Y6" s="28" t="s">
        <v>351</v>
      </c>
      <c r="Z6" s="28" t="s">
        <v>352</v>
      </c>
      <c r="AA6" s="28" t="s">
        <v>353</v>
      </c>
      <c r="AB6" s="28" t="s">
        <v>354</v>
      </c>
      <c r="AC6" s="28" t="s">
        <v>355</v>
      </c>
      <c r="AD6" s="28" t="s">
        <v>356</v>
      </c>
      <c r="AE6" s="28" t="s">
        <v>357</v>
      </c>
      <c r="AF6" s="28" t="s">
        <v>358</v>
      </c>
      <c r="AG6" s="28" t="s">
        <v>359</v>
      </c>
      <c r="AH6" s="19" t="s">
        <v>360</v>
      </c>
      <c r="AI6" s="18"/>
      <c r="AJ6" s="38"/>
    </row>
    <row r="7" spans="1:37" ht="122.25" hidden="1" customHeight="1" x14ac:dyDescent="0.45">
      <c r="A7" s="139">
        <v>1</v>
      </c>
      <c r="B7" s="19">
        <v>248</v>
      </c>
      <c r="C7" s="138" t="s">
        <v>361</v>
      </c>
      <c r="D7" s="19" t="s">
        <v>362</v>
      </c>
      <c r="E7" s="19"/>
      <c r="F7" s="19" t="s">
        <v>363</v>
      </c>
      <c r="G7" s="19">
        <v>1961</v>
      </c>
      <c r="H7" s="19">
        <v>4</v>
      </c>
      <c r="I7" s="19">
        <v>2</v>
      </c>
      <c r="J7" s="19">
        <v>1472.4</v>
      </c>
      <c r="K7" s="19">
        <v>1235.5</v>
      </c>
      <c r="L7" s="19">
        <v>785.6</v>
      </c>
      <c r="M7" s="19" t="s">
        <v>364</v>
      </c>
      <c r="N7" s="19" t="s">
        <v>365</v>
      </c>
      <c r="O7" s="19" t="s">
        <v>366</v>
      </c>
      <c r="P7" s="19"/>
      <c r="Q7" s="150"/>
      <c r="R7" s="151"/>
      <c r="S7" s="150"/>
      <c r="T7" s="150"/>
      <c r="U7" s="150"/>
      <c r="V7" s="150"/>
      <c r="W7" s="19"/>
      <c r="X7" s="19"/>
      <c r="Y7" s="99">
        <v>8274424.8600000003</v>
      </c>
      <c r="Z7" s="19"/>
      <c r="AA7" s="19"/>
      <c r="AB7" s="19"/>
      <c r="AC7" s="19">
        <v>466942.1</v>
      </c>
      <c r="AD7" s="99">
        <f t="shared" ref="AD7:AD9" si="0">SUM(Q7:AC7)</f>
        <v>8741366.9600000009</v>
      </c>
      <c r="AE7" s="19"/>
      <c r="AF7" s="19"/>
      <c r="AG7" s="28">
        <f>SUM(Y7+AC7)</f>
        <v>8741366.9600000009</v>
      </c>
      <c r="AH7" s="19"/>
      <c r="AI7" s="19">
        <v>2022</v>
      </c>
      <c r="AJ7" s="19">
        <v>2022</v>
      </c>
    </row>
    <row r="8" spans="1:37" s="124" customFormat="1" ht="27" hidden="1" customHeight="1" x14ac:dyDescent="0.45">
      <c r="A8" s="140"/>
      <c r="B8" s="141"/>
      <c r="C8" s="142" t="s">
        <v>367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52"/>
      <c r="R8" s="153"/>
      <c r="S8" s="152"/>
      <c r="T8" s="152"/>
      <c r="U8" s="152"/>
      <c r="V8" s="152"/>
      <c r="W8" s="154"/>
      <c r="X8" s="154"/>
      <c r="Y8" s="155">
        <v>10811382.66</v>
      </c>
      <c r="Z8" s="154"/>
      <c r="AA8" s="154"/>
      <c r="AB8" s="154"/>
      <c r="AC8" s="154">
        <v>466942.1</v>
      </c>
      <c r="AD8" s="155">
        <f t="shared" si="0"/>
        <v>11278324.76</v>
      </c>
      <c r="AE8" s="154"/>
      <c r="AF8" s="154"/>
      <c r="AG8" s="155">
        <f>SUM(Y8+AC8)</f>
        <v>11278324.76</v>
      </c>
      <c r="AH8" s="141"/>
      <c r="AI8" s="141"/>
      <c r="AJ8" s="141"/>
    </row>
    <row r="9" spans="1:37" ht="84.9" hidden="1" customHeight="1" x14ac:dyDescent="0.45">
      <c r="A9" s="139">
        <v>1</v>
      </c>
      <c r="B9" s="19">
        <v>249</v>
      </c>
      <c r="C9" s="138" t="s">
        <v>368</v>
      </c>
      <c r="D9" s="19"/>
      <c r="E9" s="19" t="s">
        <v>369</v>
      </c>
      <c r="F9" s="19" t="s">
        <v>370</v>
      </c>
      <c r="G9" s="19">
        <v>1980</v>
      </c>
      <c r="H9" s="19">
        <v>2</v>
      </c>
      <c r="I9" s="19">
        <v>2</v>
      </c>
      <c r="J9" s="19">
        <v>786.3</v>
      </c>
      <c r="K9" s="19">
        <v>745</v>
      </c>
      <c r="L9" s="19" t="s">
        <v>364</v>
      </c>
      <c r="M9" s="19" t="s">
        <v>364</v>
      </c>
      <c r="N9" s="19" t="s">
        <v>371</v>
      </c>
      <c r="O9" s="19" t="s">
        <v>366</v>
      </c>
      <c r="P9" s="19"/>
      <c r="Q9" s="28">
        <f>ROUND(K9*616.25*1.015,2)</f>
        <v>465992.84</v>
      </c>
      <c r="R9" s="37">
        <v>2218277.17</v>
      </c>
      <c r="S9" s="28">
        <f>ROUND(K9*598.59*1.015,2)</f>
        <v>452638.79</v>
      </c>
      <c r="T9" s="28">
        <f>ROUND(K9*659.34*1.015,2)</f>
        <v>498576.42</v>
      </c>
      <c r="U9" s="28"/>
      <c r="V9" s="28">
        <f>ROUND(K9*1015.78*1.015,2)</f>
        <v>768107.44</v>
      </c>
      <c r="W9" s="28"/>
      <c r="X9" s="28"/>
      <c r="Y9" s="28">
        <f>ROUND(8645.31*K9*1.015,2)</f>
        <v>6537367.29</v>
      </c>
      <c r="Z9" s="28"/>
      <c r="AA9" s="28">
        <f>ROUND(6480.9*K9*1.015,2)</f>
        <v>4900694.5599999996</v>
      </c>
      <c r="AB9" s="28"/>
      <c r="AC9" s="28">
        <v>399817.36</v>
      </c>
      <c r="AD9" s="28">
        <f t="shared" si="0"/>
        <v>16241471.869999997</v>
      </c>
      <c r="AE9" s="28"/>
      <c r="AF9" s="28"/>
      <c r="AG9" s="28">
        <f>SUM(Q9:AC9)</f>
        <v>16241471.869999997</v>
      </c>
      <c r="AH9" s="37"/>
      <c r="AI9" s="19">
        <v>2020</v>
      </c>
      <c r="AJ9" s="19">
        <v>2022</v>
      </c>
    </row>
    <row r="10" spans="1:37" s="124" customFormat="1" ht="22.5" hidden="1" customHeight="1" x14ac:dyDescent="0.45">
      <c r="A10" s="140"/>
      <c r="B10" s="141"/>
      <c r="C10" s="143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8"/>
      <c r="O10" s="141"/>
      <c r="P10" s="141"/>
      <c r="Q10" s="155">
        <v>465992.84</v>
      </c>
      <c r="R10" s="156">
        <v>2218277.17</v>
      </c>
      <c r="S10" s="155">
        <v>452638.79</v>
      </c>
      <c r="T10" s="155">
        <v>498576.42</v>
      </c>
      <c r="U10" s="155"/>
      <c r="V10" s="155">
        <v>768107.44</v>
      </c>
      <c r="W10" s="155"/>
      <c r="X10" s="155"/>
      <c r="Y10" s="155">
        <v>6537367.29</v>
      </c>
      <c r="Z10" s="155"/>
      <c r="AA10" s="155">
        <v>4900694.5599999996</v>
      </c>
      <c r="AB10" s="155"/>
      <c r="AC10" s="155">
        <v>399817.36</v>
      </c>
      <c r="AD10" s="155">
        <v>16241471.869999999</v>
      </c>
      <c r="AE10" s="155"/>
      <c r="AF10" s="155"/>
      <c r="AG10" s="155">
        <v>16241471.869999999</v>
      </c>
      <c r="AH10" s="162"/>
      <c r="AI10" s="141"/>
      <c r="AJ10" s="141"/>
    </row>
    <row r="11" spans="1:37" ht="84.9" hidden="1" customHeight="1" x14ac:dyDescent="0.45">
      <c r="A11" s="139">
        <v>1</v>
      </c>
      <c r="B11" s="19">
        <v>250</v>
      </c>
      <c r="C11" s="138" t="s">
        <v>372</v>
      </c>
      <c r="D11" s="19"/>
      <c r="E11" s="19"/>
      <c r="F11" s="19" t="s">
        <v>373</v>
      </c>
      <c r="G11" s="19">
        <v>1960</v>
      </c>
      <c r="H11" s="19">
        <v>5</v>
      </c>
      <c r="I11" s="19">
        <v>2</v>
      </c>
      <c r="J11" s="19">
        <v>1605.3</v>
      </c>
      <c r="K11" s="19">
        <v>1605.3</v>
      </c>
      <c r="L11" s="19">
        <v>1038.9000000000001</v>
      </c>
      <c r="M11" s="19" t="s">
        <v>364</v>
      </c>
      <c r="N11" s="15" t="s">
        <v>365</v>
      </c>
      <c r="O11" s="19" t="s">
        <v>366</v>
      </c>
      <c r="P11" s="19"/>
      <c r="Q11" s="28"/>
      <c r="R11" s="37"/>
      <c r="S11" s="28"/>
      <c r="T11" s="28"/>
      <c r="U11" s="28"/>
      <c r="V11" s="28"/>
      <c r="W11" s="28"/>
      <c r="X11" s="28"/>
      <c r="Y11" s="28"/>
      <c r="Z11" s="28"/>
      <c r="AA11" s="28"/>
      <c r="AB11" s="28">
        <v>1323903.43</v>
      </c>
      <c r="AC11" s="28"/>
      <c r="AD11" s="28">
        <f t="shared" ref="AD11:AD16" si="1">SUM(Q11:AC11)</f>
        <v>1323903.43</v>
      </c>
      <c r="AE11" s="28"/>
      <c r="AF11" s="28"/>
      <c r="AG11" s="28">
        <v>1323903.43</v>
      </c>
      <c r="AH11" s="37"/>
      <c r="AI11" s="19">
        <v>2020</v>
      </c>
      <c r="AJ11" s="19">
        <v>2022</v>
      </c>
    </row>
    <row r="12" spans="1:37" s="124" customFormat="1" ht="15" hidden="1" customHeight="1" x14ac:dyDescent="0.45">
      <c r="A12" s="140"/>
      <c r="B12" s="141"/>
      <c r="C12" s="143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8"/>
      <c r="O12" s="141"/>
      <c r="P12" s="141"/>
      <c r="Q12" s="155"/>
      <c r="R12" s="156" t="s">
        <v>374</v>
      </c>
      <c r="S12" s="155"/>
      <c r="T12" s="155"/>
      <c r="U12" s="155"/>
      <c r="V12" s="155"/>
      <c r="W12" s="155"/>
      <c r="X12" s="155"/>
      <c r="Y12" s="155"/>
      <c r="Z12" s="155"/>
      <c r="AA12" s="155"/>
      <c r="AB12" s="155">
        <v>1323903.43</v>
      </c>
      <c r="AC12" s="155"/>
      <c r="AD12" s="155">
        <f t="shared" si="1"/>
        <v>1323903.43</v>
      </c>
      <c r="AE12" s="155"/>
      <c r="AF12" s="155"/>
      <c r="AG12" s="155">
        <v>1323903.43</v>
      </c>
      <c r="AH12" s="156"/>
      <c r="AI12" s="141"/>
      <c r="AJ12" s="141"/>
    </row>
    <row r="13" spans="1:37" ht="84.9" hidden="1" customHeight="1" x14ac:dyDescent="0.45">
      <c r="A13" s="139">
        <v>1</v>
      </c>
      <c r="B13" s="19">
        <v>251</v>
      </c>
      <c r="C13" s="138" t="s">
        <v>375</v>
      </c>
      <c r="D13" s="19"/>
      <c r="E13" s="19"/>
      <c r="F13" s="19" t="s">
        <v>376</v>
      </c>
      <c r="G13" s="19">
        <v>1970</v>
      </c>
      <c r="H13" s="19">
        <v>5</v>
      </c>
      <c r="I13" s="19">
        <v>6</v>
      </c>
      <c r="J13" s="19">
        <v>4397.6000000000004</v>
      </c>
      <c r="K13" s="19">
        <v>4379.8</v>
      </c>
      <c r="L13" s="19">
        <v>4379.8</v>
      </c>
      <c r="M13" s="19">
        <v>210</v>
      </c>
      <c r="N13" s="15" t="s">
        <v>365</v>
      </c>
      <c r="O13" s="19" t="s">
        <v>366</v>
      </c>
      <c r="P13" s="19"/>
      <c r="Q13" s="28"/>
      <c r="R13" s="37"/>
      <c r="S13" s="28"/>
      <c r="T13" s="28"/>
      <c r="U13" s="28"/>
      <c r="V13" s="28"/>
      <c r="W13" s="28"/>
      <c r="X13" s="28"/>
      <c r="Y13" s="28">
        <v>15638645.640000001</v>
      </c>
      <c r="Z13" s="28"/>
      <c r="AA13" s="28"/>
      <c r="AB13" s="28"/>
      <c r="AC13" s="28">
        <v>742257.6</v>
      </c>
      <c r="AD13" s="28">
        <f t="shared" si="1"/>
        <v>16380903.24</v>
      </c>
      <c r="AE13" s="28"/>
      <c r="AF13" s="28"/>
      <c r="AG13" s="28">
        <f>SUM(Y13+AC13)</f>
        <v>16380903.24</v>
      </c>
      <c r="AH13" s="37"/>
      <c r="AI13" s="19">
        <v>2022</v>
      </c>
      <c r="AJ13" s="19">
        <v>2022</v>
      </c>
    </row>
    <row r="14" spans="1:37" s="124" customFormat="1" ht="17.25" hidden="1" customHeight="1" x14ac:dyDescent="0.45">
      <c r="A14" s="140"/>
      <c r="B14" s="141"/>
      <c r="C14" s="143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8"/>
      <c r="O14" s="141"/>
      <c r="P14" s="141"/>
      <c r="Q14" s="155"/>
      <c r="R14" s="156"/>
      <c r="S14" s="155"/>
      <c r="T14" s="155"/>
      <c r="U14" s="155"/>
      <c r="V14" s="155"/>
      <c r="W14" s="155"/>
      <c r="X14" s="155"/>
      <c r="Y14" s="155">
        <v>15638645.640000001</v>
      </c>
      <c r="Z14" s="155"/>
      <c r="AA14" s="155"/>
      <c r="AB14" s="155"/>
      <c r="AC14" s="155">
        <v>742257.6</v>
      </c>
      <c r="AD14" s="155">
        <f t="shared" si="1"/>
        <v>16380903.24</v>
      </c>
      <c r="AE14" s="155"/>
      <c r="AF14" s="155"/>
      <c r="AG14" s="155">
        <f>SUM(Y14+AC14)</f>
        <v>16380903.24</v>
      </c>
      <c r="AH14" s="162"/>
      <c r="AI14" s="141"/>
      <c r="AJ14" s="141"/>
    </row>
    <row r="15" spans="1:37" ht="84.9" hidden="1" customHeight="1" x14ac:dyDescent="0.45">
      <c r="A15" s="139">
        <v>1</v>
      </c>
      <c r="B15" s="19">
        <v>252</v>
      </c>
      <c r="C15" s="138" t="s">
        <v>377</v>
      </c>
      <c r="D15" s="144" t="s">
        <v>378</v>
      </c>
      <c r="E15" s="19" t="s">
        <v>379</v>
      </c>
      <c r="F15" s="19" t="s">
        <v>380</v>
      </c>
      <c r="G15" s="19">
        <v>1990</v>
      </c>
      <c r="H15" s="19">
        <v>9</v>
      </c>
      <c r="I15" s="19">
        <v>4</v>
      </c>
      <c r="J15" s="23">
        <v>9668.5</v>
      </c>
      <c r="K15" s="23">
        <v>9393.5</v>
      </c>
      <c r="L15" s="23" t="s">
        <v>364</v>
      </c>
      <c r="M15" s="19" t="s">
        <v>364</v>
      </c>
      <c r="N15" s="15" t="s">
        <v>365</v>
      </c>
      <c r="O15" s="19" t="s">
        <v>366</v>
      </c>
      <c r="P15" s="19"/>
      <c r="Q15" s="28"/>
      <c r="R15" s="37"/>
      <c r="S15" s="28"/>
      <c r="T15" s="28"/>
      <c r="U15" s="28"/>
      <c r="V15" s="28"/>
      <c r="W15" s="28"/>
      <c r="X15" s="28"/>
      <c r="Y15" s="28">
        <v>18250467.23</v>
      </c>
      <c r="Z15" s="28"/>
      <c r="AA15" s="28"/>
      <c r="AB15" s="28"/>
      <c r="AC15" s="28">
        <v>655244.74</v>
      </c>
      <c r="AD15" s="28">
        <f t="shared" si="1"/>
        <v>18905711.969999999</v>
      </c>
      <c r="AE15" s="28"/>
      <c r="AF15" s="28"/>
      <c r="AG15" s="28">
        <f>SUM(Q15:AC15)</f>
        <v>18905711.969999999</v>
      </c>
      <c r="AH15" s="37"/>
      <c r="AI15" s="19">
        <v>2020</v>
      </c>
      <c r="AJ15" s="19">
        <v>2022</v>
      </c>
    </row>
    <row r="16" spans="1:37" s="124" customFormat="1" ht="17.25" hidden="1" customHeight="1" x14ac:dyDescent="0.45">
      <c r="A16" s="140"/>
      <c r="B16" s="141"/>
      <c r="C16" s="143"/>
      <c r="D16" s="141"/>
      <c r="E16" s="141"/>
      <c r="F16" s="141"/>
      <c r="G16" s="141"/>
      <c r="H16" s="141"/>
      <c r="I16" s="141"/>
      <c r="J16" s="149"/>
      <c r="K16" s="149"/>
      <c r="L16" s="149"/>
      <c r="M16" s="141"/>
      <c r="N16" s="148"/>
      <c r="O16" s="141"/>
      <c r="P16" s="141"/>
      <c r="Q16" s="155"/>
      <c r="R16" s="156"/>
      <c r="S16" s="155"/>
      <c r="T16" s="155"/>
      <c r="U16" s="155"/>
      <c r="V16" s="155"/>
      <c r="W16" s="155"/>
      <c r="X16" s="155"/>
      <c r="Y16" s="155">
        <v>18250467.23</v>
      </c>
      <c r="Z16" s="155"/>
      <c r="AA16" s="155"/>
      <c r="AB16" s="155"/>
      <c r="AC16" s="155">
        <v>655244.74</v>
      </c>
      <c r="AD16" s="155">
        <f t="shared" si="1"/>
        <v>18905711.969999999</v>
      </c>
      <c r="AE16" s="155"/>
      <c r="AF16" s="155"/>
      <c r="AG16" s="155">
        <f>SUM(Q16:AC16)</f>
        <v>18905711.969999999</v>
      </c>
      <c r="AH16" s="156"/>
      <c r="AI16" s="141"/>
      <c r="AJ16" s="141"/>
    </row>
    <row r="17" spans="1:37" ht="72" hidden="1" customHeight="1" x14ac:dyDescent="0.45">
      <c r="A17" s="139">
        <v>1</v>
      </c>
      <c r="B17" s="19">
        <v>1</v>
      </c>
      <c r="C17" s="145" t="s">
        <v>165</v>
      </c>
      <c r="D17" s="19" t="s">
        <v>381</v>
      </c>
      <c r="E17" s="146" t="s">
        <v>382</v>
      </c>
      <c r="F17" s="19" t="s">
        <v>383</v>
      </c>
      <c r="G17" s="19" t="s">
        <v>384</v>
      </c>
      <c r="H17" s="19">
        <v>5</v>
      </c>
      <c r="I17" s="19">
        <v>8</v>
      </c>
      <c r="J17" s="19">
        <v>5793.5</v>
      </c>
      <c r="K17" s="19"/>
      <c r="L17" s="19"/>
      <c r="M17" s="19">
        <v>293</v>
      </c>
      <c r="N17" s="15" t="s">
        <v>365</v>
      </c>
      <c r="O17" s="19" t="s">
        <v>366</v>
      </c>
      <c r="P17" s="19"/>
      <c r="Q17" s="157"/>
      <c r="R17" s="158">
        <v>2377151.2400000002</v>
      </c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61">
        <v>124000</v>
      </c>
      <c r="AD17" s="157">
        <f t="shared" ref="AD17:AD21" si="2">R17+AC17</f>
        <v>2501151.2400000002</v>
      </c>
      <c r="AE17" s="157">
        <f t="shared" ref="AE17:AE21" si="3">AD17</f>
        <v>2501151.2400000002</v>
      </c>
      <c r="AF17" s="157"/>
      <c r="AG17" s="157"/>
      <c r="AH17" s="159"/>
      <c r="AI17" s="19">
        <v>2022</v>
      </c>
      <c r="AJ17" s="19">
        <v>2022</v>
      </c>
      <c r="AK17" s="130" t="s">
        <v>385</v>
      </c>
    </row>
    <row r="18" spans="1:37" s="124" customFormat="1" ht="17.25" hidden="1" customHeight="1" x14ac:dyDescent="0.45">
      <c r="A18" s="140"/>
      <c r="B18" s="141"/>
      <c r="C18" s="143"/>
      <c r="D18" s="141"/>
      <c r="E18" s="141"/>
      <c r="F18" s="141"/>
      <c r="G18" s="141"/>
      <c r="H18" s="141"/>
      <c r="I18" s="141"/>
      <c r="J18" s="149"/>
      <c r="K18" s="149"/>
      <c r="L18" s="149"/>
      <c r="M18" s="141"/>
      <c r="N18" s="148"/>
      <c r="O18" s="141"/>
      <c r="P18" s="141"/>
      <c r="Q18" s="155"/>
      <c r="R18" s="156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6"/>
      <c r="AI18" s="141"/>
      <c r="AJ18" s="141"/>
    </row>
    <row r="19" spans="1:37" ht="72" hidden="1" customHeight="1" x14ac:dyDescent="0.45">
      <c r="A19" s="139">
        <v>1</v>
      </c>
      <c r="B19" s="19">
        <v>1</v>
      </c>
      <c r="C19" s="145" t="s">
        <v>166</v>
      </c>
      <c r="D19" s="19" t="s">
        <v>381</v>
      </c>
      <c r="E19" s="146" t="s">
        <v>382</v>
      </c>
      <c r="F19" s="19" t="s">
        <v>383</v>
      </c>
      <c r="G19" s="19" t="s">
        <v>384</v>
      </c>
      <c r="H19" s="19">
        <v>5</v>
      </c>
      <c r="I19" s="19">
        <v>6</v>
      </c>
      <c r="J19" s="19">
        <v>4799.8999999999996</v>
      </c>
      <c r="K19" s="19"/>
      <c r="L19" s="19"/>
      <c r="M19" s="19">
        <v>209</v>
      </c>
      <c r="N19" s="15" t="s">
        <v>365</v>
      </c>
      <c r="O19" s="19" t="s">
        <v>366</v>
      </c>
      <c r="P19" s="19"/>
      <c r="Q19" s="157"/>
      <c r="R19" s="158">
        <v>2377151.2400000002</v>
      </c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61">
        <v>124000</v>
      </c>
      <c r="AD19" s="157">
        <f t="shared" si="2"/>
        <v>2501151.2400000002</v>
      </c>
      <c r="AE19" s="157">
        <f t="shared" si="3"/>
        <v>2501151.2400000002</v>
      </c>
      <c r="AF19" s="157"/>
      <c r="AG19" s="157"/>
      <c r="AH19" s="159"/>
      <c r="AI19" s="19">
        <v>2022</v>
      </c>
      <c r="AJ19" s="19">
        <v>2022</v>
      </c>
      <c r="AK19" s="130" t="s">
        <v>385</v>
      </c>
    </row>
    <row r="20" spans="1:37" s="124" customFormat="1" ht="17.25" hidden="1" customHeight="1" x14ac:dyDescent="0.45">
      <c r="A20" s="140"/>
      <c r="B20" s="141"/>
      <c r="C20" s="143"/>
      <c r="D20" s="141"/>
      <c r="E20" s="141"/>
      <c r="F20" s="141"/>
      <c r="G20" s="141"/>
      <c r="H20" s="141"/>
      <c r="I20" s="141"/>
      <c r="J20" s="149"/>
      <c r="K20" s="149"/>
      <c r="L20" s="149"/>
      <c r="M20" s="141"/>
      <c r="N20" s="148"/>
      <c r="O20" s="141"/>
      <c r="P20" s="141"/>
      <c r="Q20" s="155"/>
      <c r="R20" s="156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6"/>
      <c r="AI20" s="141"/>
      <c r="AJ20" s="141"/>
    </row>
    <row r="21" spans="1:37" ht="72" hidden="1" customHeight="1" x14ac:dyDescent="0.45">
      <c r="A21" s="139">
        <v>1</v>
      </c>
      <c r="B21" s="19">
        <v>1</v>
      </c>
      <c r="C21" s="145" t="s">
        <v>167</v>
      </c>
      <c r="D21" s="19" t="s">
        <v>381</v>
      </c>
      <c r="E21" s="146" t="s">
        <v>382</v>
      </c>
      <c r="F21" s="19" t="s">
        <v>383</v>
      </c>
      <c r="G21" s="19">
        <v>1971</v>
      </c>
      <c r="H21" s="19">
        <v>9</v>
      </c>
      <c r="I21" s="19">
        <v>2</v>
      </c>
      <c r="J21" s="19" t="s">
        <v>386</v>
      </c>
      <c r="K21" s="19"/>
      <c r="L21" s="19"/>
      <c r="M21" s="19">
        <v>160</v>
      </c>
      <c r="N21" s="15" t="s">
        <v>365</v>
      </c>
      <c r="O21" s="19" t="s">
        <v>366</v>
      </c>
      <c r="P21" s="19"/>
      <c r="Q21" s="157"/>
      <c r="R21" s="158">
        <v>2377151.2400000002</v>
      </c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61">
        <v>124000</v>
      </c>
      <c r="AD21" s="157">
        <f t="shared" si="2"/>
        <v>2501151.2400000002</v>
      </c>
      <c r="AE21" s="157">
        <f t="shared" si="3"/>
        <v>2501151.2400000002</v>
      </c>
      <c r="AF21" s="157"/>
      <c r="AG21" s="157"/>
      <c r="AH21" s="159"/>
      <c r="AI21" s="19">
        <v>2022</v>
      </c>
      <c r="AJ21" s="19">
        <v>2022</v>
      </c>
      <c r="AK21" s="130" t="s">
        <v>385</v>
      </c>
    </row>
    <row r="22" spans="1:37" s="124" customFormat="1" ht="17.25" hidden="1" customHeight="1" x14ac:dyDescent="0.45">
      <c r="A22" s="139"/>
      <c r="B22" s="141"/>
      <c r="C22" s="143"/>
      <c r="D22" s="141"/>
      <c r="E22" s="141"/>
      <c r="F22" s="141"/>
      <c r="G22" s="141"/>
      <c r="H22" s="141"/>
      <c r="I22" s="141"/>
      <c r="J22" s="149"/>
      <c r="K22" s="149"/>
      <c r="L22" s="149"/>
      <c r="M22" s="141"/>
      <c r="N22" s="148"/>
      <c r="O22" s="141"/>
      <c r="P22" s="141"/>
      <c r="Q22" s="155"/>
      <c r="R22" s="156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6"/>
      <c r="AI22" s="141"/>
      <c r="AJ22" s="141"/>
    </row>
    <row r="23" spans="1:37" ht="72" hidden="1" customHeight="1" x14ac:dyDescent="0.45">
      <c r="A23" s="139">
        <v>1</v>
      </c>
      <c r="B23" s="19">
        <v>1</v>
      </c>
      <c r="C23" s="145" t="s">
        <v>168</v>
      </c>
      <c r="D23" s="19" t="s">
        <v>381</v>
      </c>
      <c r="E23" s="146" t="s">
        <v>382</v>
      </c>
      <c r="F23" s="19" t="s">
        <v>383</v>
      </c>
      <c r="G23" s="19">
        <v>1971</v>
      </c>
      <c r="H23" s="19">
        <v>9</v>
      </c>
      <c r="I23" s="19">
        <v>2</v>
      </c>
      <c r="J23" s="19">
        <v>3912.3</v>
      </c>
      <c r="K23" s="19"/>
      <c r="L23" s="19"/>
      <c r="M23" s="19">
        <v>174</v>
      </c>
      <c r="N23" s="15" t="s">
        <v>365</v>
      </c>
      <c r="O23" s="19" t="s">
        <v>366</v>
      </c>
      <c r="P23" s="19"/>
      <c r="Q23" s="157"/>
      <c r="R23" s="158">
        <v>2377151.2400000002</v>
      </c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61">
        <v>124000</v>
      </c>
      <c r="AD23" s="157">
        <f t="shared" ref="AD23:AD27" si="4">R23+AC23</f>
        <v>2501151.2400000002</v>
      </c>
      <c r="AE23" s="157">
        <f t="shared" ref="AE23:AE27" si="5">AD23</f>
        <v>2501151.2400000002</v>
      </c>
      <c r="AF23" s="157"/>
      <c r="AG23" s="157"/>
      <c r="AH23" s="159"/>
      <c r="AI23" s="19">
        <v>2022</v>
      </c>
      <c r="AJ23" s="19">
        <v>2022</v>
      </c>
      <c r="AK23" s="130" t="s">
        <v>385</v>
      </c>
    </row>
    <row r="24" spans="1:37" s="124" customFormat="1" ht="17.25" hidden="1" customHeight="1" x14ac:dyDescent="0.45">
      <c r="A24" s="140"/>
      <c r="B24" s="141"/>
      <c r="C24" s="143"/>
      <c r="D24" s="141"/>
      <c r="E24" s="141"/>
      <c r="F24" s="141"/>
      <c r="G24" s="141"/>
      <c r="H24" s="141"/>
      <c r="I24" s="141"/>
      <c r="J24" s="149"/>
      <c r="K24" s="149"/>
      <c r="L24" s="149"/>
      <c r="M24" s="141"/>
      <c r="N24" s="148"/>
      <c r="O24" s="141"/>
      <c r="P24" s="141"/>
      <c r="Q24" s="155"/>
      <c r="R24" s="156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6"/>
      <c r="AI24" s="141"/>
      <c r="AJ24" s="141"/>
    </row>
    <row r="25" spans="1:37" ht="72" hidden="1" customHeight="1" x14ac:dyDescent="0.45">
      <c r="A25" s="139">
        <v>1</v>
      </c>
      <c r="B25" s="19">
        <v>1</v>
      </c>
      <c r="C25" s="145" t="s">
        <v>169</v>
      </c>
      <c r="D25" s="19" t="s">
        <v>381</v>
      </c>
      <c r="E25" s="146" t="s">
        <v>382</v>
      </c>
      <c r="F25" s="19" t="s">
        <v>383</v>
      </c>
      <c r="G25" s="19">
        <v>1960</v>
      </c>
      <c r="H25" s="19">
        <v>5</v>
      </c>
      <c r="I25" s="19">
        <v>4</v>
      </c>
      <c r="J25" s="19">
        <v>3186.3</v>
      </c>
      <c r="K25" s="19"/>
      <c r="L25" s="19"/>
      <c r="M25" s="19">
        <v>147</v>
      </c>
      <c r="N25" s="15" t="s">
        <v>365</v>
      </c>
      <c r="O25" s="19" t="s">
        <v>366</v>
      </c>
      <c r="P25" s="19"/>
      <c r="Q25" s="157"/>
      <c r="R25" s="158">
        <v>2377151.2400000002</v>
      </c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61">
        <v>124000</v>
      </c>
      <c r="AD25" s="157">
        <f t="shared" si="4"/>
        <v>2501151.2400000002</v>
      </c>
      <c r="AE25" s="157">
        <f t="shared" si="5"/>
        <v>2501151.2400000002</v>
      </c>
      <c r="AF25" s="157"/>
      <c r="AG25" s="157"/>
      <c r="AH25" s="159"/>
      <c r="AI25" s="19">
        <v>2022</v>
      </c>
      <c r="AJ25" s="19">
        <v>2022</v>
      </c>
      <c r="AK25" s="130" t="s">
        <v>385</v>
      </c>
    </row>
    <row r="26" spans="1:37" s="124" customFormat="1" ht="17.25" hidden="1" customHeight="1" x14ac:dyDescent="0.45">
      <c r="A26" s="140"/>
      <c r="B26" s="141"/>
      <c r="C26" s="143"/>
      <c r="D26" s="141"/>
      <c r="E26" s="141"/>
      <c r="F26" s="141"/>
      <c r="G26" s="141"/>
      <c r="H26" s="141"/>
      <c r="I26" s="141"/>
      <c r="J26" s="149"/>
      <c r="K26" s="149"/>
      <c r="L26" s="149"/>
      <c r="M26" s="141"/>
      <c r="N26" s="148"/>
      <c r="O26" s="141"/>
      <c r="P26" s="141"/>
      <c r="Q26" s="155"/>
      <c r="R26" s="156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6"/>
      <c r="AI26" s="141"/>
      <c r="AJ26" s="141"/>
    </row>
    <row r="27" spans="1:37" ht="72" hidden="1" customHeight="1" x14ac:dyDescent="0.45">
      <c r="A27" s="139">
        <v>1</v>
      </c>
      <c r="B27" s="19">
        <v>1</v>
      </c>
      <c r="C27" s="145" t="s">
        <v>170</v>
      </c>
      <c r="D27" s="19" t="s">
        <v>381</v>
      </c>
      <c r="E27" s="146" t="s">
        <v>382</v>
      </c>
      <c r="F27" s="19" t="s">
        <v>383</v>
      </c>
      <c r="G27" s="19">
        <v>1966</v>
      </c>
      <c r="H27" s="19">
        <v>5</v>
      </c>
      <c r="I27" s="19">
        <v>6</v>
      </c>
      <c r="J27" s="19">
        <v>4387.3</v>
      </c>
      <c r="K27" s="19"/>
      <c r="L27" s="19"/>
      <c r="M27" s="19">
        <v>230</v>
      </c>
      <c r="N27" s="15" t="s">
        <v>365</v>
      </c>
      <c r="O27" s="19" t="s">
        <v>366</v>
      </c>
      <c r="P27" s="19"/>
      <c r="Q27" s="157"/>
      <c r="R27" s="158">
        <v>2377151.2400000002</v>
      </c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61">
        <v>124000</v>
      </c>
      <c r="AD27" s="157">
        <f t="shared" si="4"/>
        <v>2501151.2400000002</v>
      </c>
      <c r="AE27" s="157">
        <f t="shared" si="5"/>
        <v>2501151.2400000002</v>
      </c>
      <c r="AF27" s="157"/>
      <c r="AG27" s="157"/>
      <c r="AH27" s="159"/>
      <c r="AI27" s="19">
        <v>2022</v>
      </c>
      <c r="AJ27" s="19">
        <v>2022</v>
      </c>
      <c r="AK27" s="130" t="s">
        <v>385</v>
      </c>
    </row>
    <row r="28" spans="1:37" s="124" customFormat="1" ht="17.25" hidden="1" customHeight="1" x14ac:dyDescent="0.45">
      <c r="A28" s="140"/>
      <c r="B28" s="141"/>
      <c r="C28" s="143"/>
      <c r="D28" s="141"/>
      <c r="E28" s="141"/>
      <c r="F28" s="141"/>
      <c r="G28" s="141"/>
      <c r="H28" s="141"/>
      <c r="I28" s="141"/>
      <c r="J28" s="149"/>
      <c r="K28" s="149"/>
      <c r="L28" s="149"/>
      <c r="M28" s="141"/>
      <c r="N28" s="148"/>
      <c r="O28" s="141"/>
      <c r="P28" s="141"/>
      <c r="Q28" s="155"/>
      <c r="R28" s="156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6"/>
      <c r="AI28" s="141"/>
      <c r="AJ28" s="141"/>
    </row>
    <row r="29" spans="1:37" ht="51" hidden="1" customHeight="1" x14ac:dyDescent="0.45">
      <c r="A29" s="139">
        <v>1</v>
      </c>
      <c r="B29" s="19">
        <v>1</v>
      </c>
      <c r="C29" s="145" t="s">
        <v>171</v>
      </c>
      <c r="D29" s="19" t="s">
        <v>381</v>
      </c>
      <c r="E29" s="146" t="s">
        <v>382</v>
      </c>
      <c r="F29" s="19" t="s">
        <v>383</v>
      </c>
      <c r="G29" s="19">
        <v>1970</v>
      </c>
      <c r="H29" s="19">
        <v>5</v>
      </c>
      <c r="I29" s="19">
        <v>5</v>
      </c>
      <c r="J29" s="19">
        <v>3330.1</v>
      </c>
      <c r="K29" s="19"/>
      <c r="L29" s="19"/>
      <c r="M29" s="19">
        <v>164</v>
      </c>
      <c r="N29" s="15" t="s">
        <v>365</v>
      </c>
      <c r="O29" s="19" t="s">
        <v>366</v>
      </c>
      <c r="P29" s="19"/>
      <c r="Q29" s="157"/>
      <c r="R29" s="158">
        <v>2377151.2400000002</v>
      </c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61">
        <v>124000</v>
      </c>
      <c r="AD29" s="157">
        <f t="shared" ref="AD29:AD33" si="6">R29+AC29</f>
        <v>2501151.2400000002</v>
      </c>
      <c r="AE29" s="157">
        <f t="shared" ref="AE29:AE33" si="7">AD29</f>
        <v>2501151.2400000002</v>
      </c>
      <c r="AF29" s="157"/>
      <c r="AG29" s="157"/>
      <c r="AH29" s="159"/>
      <c r="AI29" s="19">
        <v>2022</v>
      </c>
      <c r="AJ29" s="19">
        <v>2022</v>
      </c>
      <c r="AK29" s="130" t="s">
        <v>387</v>
      </c>
    </row>
    <row r="30" spans="1:37" s="124" customFormat="1" ht="17.25" hidden="1" customHeight="1" x14ac:dyDescent="0.45">
      <c r="A30" s="139"/>
      <c r="B30" s="141"/>
      <c r="C30" s="143"/>
      <c r="D30" s="141"/>
      <c r="E30" s="141"/>
      <c r="F30" s="141"/>
      <c r="G30" s="141"/>
      <c r="H30" s="141"/>
      <c r="I30" s="141"/>
      <c r="J30" s="149"/>
      <c r="K30" s="149"/>
      <c r="L30" s="149"/>
      <c r="M30" s="141"/>
      <c r="N30" s="148"/>
      <c r="O30" s="141"/>
      <c r="P30" s="141"/>
      <c r="Q30" s="155"/>
      <c r="R30" s="156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6"/>
      <c r="AI30" s="141"/>
      <c r="AJ30" s="141"/>
    </row>
    <row r="31" spans="1:37" ht="51" hidden="1" customHeight="1" x14ac:dyDescent="0.45">
      <c r="A31" s="139">
        <v>1</v>
      </c>
      <c r="B31" s="19">
        <v>1</v>
      </c>
      <c r="C31" s="145" t="s">
        <v>172</v>
      </c>
      <c r="D31" s="19" t="s">
        <v>381</v>
      </c>
      <c r="E31" s="146" t="s">
        <v>382</v>
      </c>
      <c r="F31" s="19" t="s">
        <v>383</v>
      </c>
      <c r="G31" s="19">
        <v>1970</v>
      </c>
      <c r="H31" s="19">
        <v>5</v>
      </c>
      <c r="I31" s="19">
        <v>6</v>
      </c>
      <c r="J31" s="19">
        <v>4510.5</v>
      </c>
      <c r="K31" s="19"/>
      <c r="L31" s="19"/>
      <c r="M31" s="19">
        <v>223</v>
      </c>
      <c r="N31" s="15" t="s">
        <v>365</v>
      </c>
      <c r="O31" s="19" t="s">
        <v>366</v>
      </c>
      <c r="P31" s="19"/>
      <c r="Q31" s="157"/>
      <c r="R31" s="158">
        <v>2377151.2400000002</v>
      </c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61">
        <v>124000</v>
      </c>
      <c r="AD31" s="157">
        <f t="shared" si="6"/>
        <v>2501151.2400000002</v>
      </c>
      <c r="AE31" s="157">
        <f t="shared" si="7"/>
        <v>2501151.2400000002</v>
      </c>
      <c r="AF31" s="157"/>
      <c r="AG31" s="157"/>
      <c r="AH31" s="159"/>
      <c r="AI31" s="19">
        <v>2022</v>
      </c>
      <c r="AJ31" s="19">
        <v>2022</v>
      </c>
      <c r="AK31" s="130" t="s">
        <v>387</v>
      </c>
    </row>
    <row r="32" spans="1:37" s="124" customFormat="1" ht="17.25" hidden="1" customHeight="1" x14ac:dyDescent="0.45">
      <c r="A32" s="140"/>
      <c r="B32" s="141"/>
      <c r="C32" s="143"/>
      <c r="D32" s="141"/>
      <c r="E32" s="141"/>
      <c r="F32" s="141"/>
      <c r="G32" s="141"/>
      <c r="H32" s="141"/>
      <c r="I32" s="141"/>
      <c r="J32" s="149"/>
      <c r="K32" s="149"/>
      <c r="L32" s="149"/>
      <c r="M32" s="141"/>
      <c r="N32" s="148"/>
      <c r="O32" s="141"/>
      <c r="P32" s="141"/>
      <c r="Q32" s="155"/>
      <c r="R32" s="156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6"/>
      <c r="AI32" s="141"/>
      <c r="AJ32" s="141"/>
    </row>
    <row r="33" spans="1:37" ht="51" hidden="1" customHeight="1" x14ac:dyDescent="0.45">
      <c r="A33" s="139">
        <v>1</v>
      </c>
      <c r="B33" s="19">
        <v>1</v>
      </c>
      <c r="C33" s="145" t="s">
        <v>173</v>
      </c>
      <c r="D33" s="19" t="s">
        <v>381</v>
      </c>
      <c r="E33" s="146" t="s">
        <v>382</v>
      </c>
      <c r="F33" s="19" t="s">
        <v>383</v>
      </c>
      <c r="G33" s="19" t="s">
        <v>388</v>
      </c>
      <c r="H33" s="19">
        <v>5</v>
      </c>
      <c r="I33" s="19">
        <v>5</v>
      </c>
      <c r="J33" s="19">
        <v>3424.9</v>
      </c>
      <c r="K33" s="19"/>
      <c r="L33" s="19"/>
      <c r="M33" s="19" t="s">
        <v>389</v>
      </c>
      <c r="N33" s="15" t="s">
        <v>365</v>
      </c>
      <c r="O33" s="19" t="s">
        <v>366</v>
      </c>
      <c r="P33" s="19"/>
      <c r="Q33" s="157"/>
      <c r="R33" s="158">
        <v>2377151.2400000002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61">
        <v>124000</v>
      </c>
      <c r="AD33" s="157">
        <f t="shared" si="6"/>
        <v>2501151.2400000002</v>
      </c>
      <c r="AE33" s="157">
        <f t="shared" si="7"/>
        <v>2501151.2400000002</v>
      </c>
      <c r="AF33" s="157"/>
      <c r="AG33" s="157"/>
      <c r="AH33" s="159"/>
      <c r="AI33" s="19">
        <v>2022</v>
      </c>
      <c r="AJ33" s="19">
        <v>2022</v>
      </c>
      <c r="AK33" s="130" t="s">
        <v>387</v>
      </c>
    </row>
    <row r="34" spans="1:37" s="124" customFormat="1" ht="17.25" hidden="1" customHeight="1" x14ac:dyDescent="0.45">
      <c r="A34" s="140"/>
      <c r="B34" s="141"/>
      <c r="C34" s="143"/>
      <c r="D34" s="141"/>
      <c r="E34" s="141"/>
      <c r="F34" s="141"/>
      <c r="G34" s="141"/>
      <c r="H34" s="141"/>
      <c r="I34" s="141"/>
      <c r="J34" s="149"/>
      <c r="K34" s="149"/>
      <c r="L34" s="149"/>
      <c r="M34" s="141"/>
      <c r="N34" s="148"/>
      <c r="O34" s="141"/>
      <c r="P34" s="141"/>
      <c r="Q34" s="155"/>
      <c r="R34" s="156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6"/>
      <c r="AI34" s="141"/>
      <c r="AJ34" s="141"/>
    </row>
    <row r="35" spans="1:37" ht="51" hidden="1" customHeight="1" x14ac:dyDescent="0.45">
      <c r="A35" s="139">
        <v>1</v>
      </c>
      <c r="B35" s="19">
        <v>1</v>
      </c>
      <c r="C35" s="145" t="s">
        <v>174</v>
      </c>
      <c r="D35" s="19" t="s">
        <v>381</v>
      </c>
      <c r="E35" s="146" t="s">
        <v>382</v>
      </c>
      <c r="F35" s="19" t="s">
        <v>383</v>
      </c>
      <c r="G35" s="19">
        <v>1970</v>
      </c>
      <c r="H35" s="19">
        <v>5</v>
      </c>
      <c r="I35" s="19">
        <v>7</v>
      </c>
      <c r="J35" s="19">
        <v>5072</v>
      </c>
      <c r="K35" s="19"/>
      <c r="L35" s="19"/>
      <c r="M35" s="19">
        <v>252</v>
      </c>
      <c r="N35" s="15" t="s">
        <v>365</v>
      </c>
      <c r="O35" s="19" t="s">
        <v>366</v>
      </c>
      <c r="P35" s="19"/>
      <c r="Q35" s="157"/>
      <c r="R35" s="158">
        <v>2377151.2400000002</v>
      </c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61">
        <v>124000</v>
      </c>
      <c r="AD35" s="157">
        <f t="shared" ref="AD35:AD39" si="8">R35+AC35</f>
        <v>2501151.2400000002</v>
      </c>
      <c r="AE35" s="157">
        <f t="shared" ref="AE35:AE39" si="9">AD35</f>
        <v>2501151.2400000002</v>
      </c>
      <c r="AF35" s="157"/>
      <c r="AG35" s="157"/>
      <c r="AH35" s="159"/>
      <c r="AI35" s="19">
        <v>2022</v>
      </c>
      <c r="AJ35" s="19">
        <v>2022</v>
      </c>
      <c r="AK35" s="130" t="s">
        <v>387</v>
      </c>
    </row>
    <row r="36" spans="1:37" s="124" customFormat="1" ht="17.25" hidden="1" customHeight="1" x14ac:dyDescent="0.45">
      <c r="A36" s="139"/>
      <c r="B36" s="141"/>
      <c r="C36" s="143"/>
      <c r="D36" s="141"/>
      <c r="E36" s="141"/>
      <c r="F36" s="141"/>
      <c r="G36" s="141"/>
      <c r="H36" s="141"/>
      <c r="I36" s="141"/>
      <c r="J36" s="149"/>
      <c r="K36" s="149"/>
      <c r="L36" s="149"/>
      <c r="M36" s="141"/>
      <c r="N36" s="148"/>
      <c r="O36" s="141"/>
      <c r="P36" s="141"/>
      <c r="Q36" s="155"/>
      <c r="R36" s="156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6"/>
      <c r="AI36" s="141"/>
      <c r="AJ36" s="141"/>
    </row>
    <row r="37" spans="1:37" ht="51" hidden="1" customHeight="1" x14ac:dyDescent="0.45">
      <c r="A37" s="139">
        <v>1</v>
      </c>
      <c r="B37" s="19">
        <v>1</v>
      </c>
      <c r="C37" s="145" t="s">
        <v>175</v>
      </c>
      <c r="D37" s="19" t="s">
        <v>381</v>
      </c>
      <c r="E37" s="146" t="s">
        <v>382</v>
      </c>
      <c r="F37" s="19" t="s">
        <v>383</v>
      </c>
      <c r="G37" s="19">
        <v>1970</v>
      </c>
      <c r="H37" s="19">
        <v>5</v>
      </c>
      <c r="I37" s="19">
        <v>4</v>
      </c>
      <c r="J37" s="19">
        <v>3224.3</v>
      </c>
      <c r="K37" s="19"/>
      <c r="L37" s="19"/>
      <c r="M37" s="19">
        <v>132</v>
      </c>
      <c r="N37" s="15" t="s">
        <v>365</v>
      </c>
      <c r="O37" s="19" t="s">
        <v>366</v>
      </c>
      <c r="P37" s="19"/>
      <c r="Q37" s="157"/>
      <c r="R37" s="158">
        <v>2377151.2400000002</v>
      </c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61">
        <v>124000</v>
      </c>
      <c r="AD37" s="157">
        <f t="shared" si="8"/>
        <v>2501151.2400000002</v>
      </c>
      <c r="AE37" s="157">
        <f t="shared" si="9"/>
        <v>2501151.2400000002</v>
      </c>
      <c r="AF37" s="157"/>
      <c r="AG37" s="157"/>
      <c r="AH37" s="159"/>
      <c r="AI37" s="19">
        <v>2022</v>
      </c>
      <c r="AJ37" s="19">
        <v>2022</v>
      </c>
      <c r="AK37" s="130" t="s">
        <v>387</v>
      </c>
    </row>
    <row r="38" spans="1:37" s="124" customFormat="1" ht="17.25" hidden="1" customHeight="1" x14ac:dyDescent="0.45">
      <c r="A38" s="140"/>
      <c r="B38" s="141"/>
      <c r="C38" s="143"/>
      <c r="D38" s="141"/>
      <c r="E38" s="141"/>
      <c r="F38" s="141"/>
      <c r="G38" s="141"/>
      <c r="H38" s="141"/>
      <c r="I38" s="141"/>
      <c r="J38" s="149"/>
      <c r="K38" s="149"/>
      <c r="L38" s="149"/>
      <c r="M38" s="141"/>
      <c r="N38" s="148"/>
      <c r="O38" s="141"/>
      <c r="P38" s="141"/>
      <c r="Q38" s="155"/>
      <c r="R38" s="156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6"/>
      <c r="AI38" s="141"/>
      <c r="AJ38" s="141"/>
    </row>
    <row r="39" spans="1:37" ht="51" hidden="1" customHeight="1" x14ac:dyDescent="0.45">
      <c r="A39" s="139">
        <v>1</v>
      </c>
      <c r="B39" s="19">
        <v>1</v>
      </c>
      <c r="C39" s="145" t="s">
        <v>176</v>
      </c>
      <c r="D39" s="19" t="s">
        <v>381</v>
      </c>
      <c r="E39" s="146" t="s">
        <v>382</v>
      </c>
      <c r="F39" s="19" t="s">
        <v>383</v>
      </c>
      <c r="G39" s="19">
        <v>1971</v>
      </c>
      <c r="H39" s="19">
        <v>5</v>
      </c>
      <c r="I39" s="19">
        <v>7</v>
      </c>
      <c r="J39" s="19">
        <v>5029.3</v>
      </c>
      <c r="K39" s="19"/>
      <c r="L39" s="19"/>
      <c r="M39" s="19">
        <v>263</v>
      </c>
      <c r="N39" s="15" t="s">
        <v>365</v>
      </c>
      <c r="O39" s="19" t="s">
        <v>366</v>
      </c>
      <c r="P39" s="19"/>
      <c r="Q39" s="157"/>
      <c r="R39" s="158">
        <v>2377151.2400000002</v>
      </c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61">
        <v>124000</v>
      </c>
      <c r="AD39" s="157">
        <f t="shared" si="8"/>
        <v>2501151.2400000002</v>
      </c>
      <c r="AE39" s="157">
        <f t="shared" si="9"/>
        <v>2501151.2400000002</v>
      </c>
      <c r="AF39" s="157"/>
      <c r="AG39" s="157"/>
      <c r="AH39" s="159"/>
      <c r="AI39" s="19">
        <v>2022</v>
      </c>
      <c r="AJ39" s="19">
        <v>2022</v>
      </c>
      <c r="AK39" s="130" t="s">
        <v>387</v>
      </c>
    </row>
    <row r="40" spans="1:37" s="124" customFormat="1" ht="17.25" hidden="1" customHeight="1" x14ac:dyDescent="0.45">
      <c r="A40" s="140"/>
      <c r="B40" s="141"/>
      <c r="C40" s="143"/>
      <c r="D40" s="141"/>
      <c r="E40" s="141"/>
      <c r="F40" s="141"/>
      <c r="G40" s="141"/>
      <c r="H40" s="141"/>
      <c r="I40" s="141"/>
      <c r="J40" s="149"/>
      <c r="K40" s="149"/>
      <c r="L40" s="149"/>
      <c r="M40" s="141"/>
      <c r="N40" s="148"/>
      <c r="O40" s="141"/>
      <c r="P40" s="141"/>
      <c r="Q40" s="155"/>
      <c r="R40" s="156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6"/>
      <c r="AI40" s="141"/>
      <c r="AJ40" s="141"/>
    </row>
    <row r="41" spans="1:37" ht="51" hidden="1" customHeight="1" x14ac:dyDescent="0.45">
      <c r="A41" s="139">
        <v>1</v>
      </c>
      <c r="B41" s="19">
        <v>1</v>
      </c>
      <c r="C41" s="145" t="s">
        <v>177</v>
      </c>
      <c r="D41" s="19" t="s">
        <v>381</v>
      </c>
      <c r="E41" s="146" t="s">
        <v>382</v>
      </c>
      <c r="F41" s="19" t="s">
        <v>383</v>
      </c>
      <c r="G41" s="19">
        <v>1970</v>
      </c>
      <c r="H41" s="19">
        <v>5</v>
      </c>
      <c r="I41" s="19">
        <v>4</v>
      </c>
      <c r="J41" s="19">
        <v>2743.4</v>
      </c>
      <c r="K41" s="19"/>
      <c r="L41" s="19"/>
      <c r="M41" s="19">
        <v>140</v>
      </c>
      <c r="N41" s="15" t="s">
        <v>365</v>
      </c>
      <c r="O41" s="19" t="s">
        <v>366</v>
      </c>
      <c r="P41" s="19"/>
      <c r="Q41" s="157"/>
      <c r="R41" s="158">
        <v>2377151.2400000002</v>
      </c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61">
        <v>124000</v>
      </c>
      <c r="AD41" s="157">
        <f t="shared" ref="AD41:AD45" si="10">R41+AC41</f>
        <v>2501151.2400000002</v>
      </c>
      <c r="AE41" s="157">
        <f t="shared" ref="AE41:AE45" si="11">AD41</f>
        <v>2501151.2400000002</v>
      </c>
      <c r="AF41" s="157"/>
      <c r="AG41" s="157"/>
      <c r="AH41" s="159"/>
      <c r="AI41" s="19">
        <v>2022</v>
      </c>
      <c r="AJ41" s="19">
        <v>2022</v>
      </c>
      <c r="AK41" s="130" t="s">
        <v>387</v>
      </c>
    </row>
    <row r="42" spans="1:37" s="124" customFormat="1" ht="17.25" hidden="1" customHeight="1" x14ac:dyDescent="0.45">
      <c r="A42" s="140"/>
      <c r="B42" s="141"/>
      <c r="C42" s="143"/>
      <c r="D42" s="141"/>
      <c r="E42" s="141"/>
      <c r="F42" s="141"/>
      <c r="G42" s="141"/>
      <c r="H42" s="141"/>
      <c r="I42" s="141"/>
      <c r="J42" s="149"/>
      <c r="K42" s="149"/>
      <c r="L42" s="149"/>
      <c r="M42" s="141"/>
      <c r="N42" s="148"/>
      <c r="O42" s="141"/>
      <c r="P42" s="141"/>
      <c r="Q42" s="155"/>
      <c r="R42" s="156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6"/>
      <c r="AI42" s="141"/>
      <c r="AJ42" s="141"/>
    </row>
    <row r="43" spans="1:37" ht="51" hidden="1" customHeight="1" x14ac:dyDescent="0.45">
      <c r="A43" s="139">
        <v>1</v>
      </c>
      <c r="B43" s="19">
        <v>1</v>
      </c>
      <c r="C43" s="145" t="s">
        <v>178</v>
      </c>
      <c r="D43" s="19" t="s">
        <v>381</v>
      </c>
      <c r="E43" s="146" t="s">
        <v>382</v>
      </c>
      <c r="F43" s="19" t="s">
        <v>383</v>
      </c>
      <c r="G43" s="19">
        <v>1972</v>
      </c>
      <c r="H43" s="19">
        <v>5</v>
      </c>
      <c r="I43" s="19">
        <v>1</v>
      </c>
      <c r="J43" s="19">
        <v>610.1</v>
      </c>
      <c r="K43" s="19"/>
      <c r="L43" s="19"/>
      <c r="M43" s="19">
        <v>22</v>
      </c>
      <c r="N43" s="15" t="s">
        <v>365</v>
      </c>
      <c r="O43" s="19" t="s">
        <v>366</v>
      </c>
      <c r="P43" s="19"/>
      <c r="Q43" s="157"/>
      <c r="R43" s="158">
        <v>2377151.2400000002</v>
      </c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61">
        <v>124000</v>
      </c>
      <c r="AD43" s="157">
        <f t="shared" si="10"/>
        <v>2501151.2400000002</v>
      </c>
      <c r="AE43" s="157">
        <f t="shared" si="11"/>
        <v>2501151.2400000002</v>
      </c>
      <c r="AF43" s="157"/>
      <c r="AG43" s="157"/>
      <c r="AH43" s="159"/>
      <c r="AI43" s="19">
        <v>2022</v>
      </c>
      <c r="AJ43" s="19">
        <v>2022</v>
      </c>
      <c r="AK43" s="130" t="s">
        <v>387</v>
      </c>
    </row>
    <row r="44" spans="1:37" s="124" customFormat="1" ht="17.25" hidden="1" customHeight="1" x14ac:dyDescent="0.45">
      <c r="A44" s="140"/>
      <c r="B44" s="141"/>
      <c r="C44" s="143"/>
      <c r="D44" s="141"/>
      <c r="E44" s="141"/>
      <c r="F44" s="141"/>
      <c r="G44" s="141"/>
      <c r="H44" s="141"/>
      <c r="I44" s="141"/>
      <c r="J44" s="149"/>
      <c r="K44" s="149"/>
      <c r="L44" s="149"/>
      <c r="M44" s="141"/>
      <c r="N44" s="148"/>
      <c r="O44" s="141"/>
      <c r="P44" s="141"/>
      <c r="Q44" s="155"/>
      <c r="R44" s="156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6"/>
      <c r="AI44" s="141"/>
      <c r="AJ44" s="141"/>
    </row>
    <row r="45" spans="1:37" ht="51" hidden="1" customHeight="1" x14ac:dyDescent="0.45">
      <c r="A45" s="139">
        <v>1</v>
      </c>
      <c r="B45" s="19">
        <v>1</v>
      </c>
      <c r="C45" s="145" t="s">
        <v>179</v>
      </c>
      <c r="D45" s="19" t="s">
        <v>381</v>
      </c>
      <c r="E45" s="146" t="s">
        <v>382</v>
      </c>
      <c r="F45" s="19" t="s">
        <v>383</v>
      </c>
      <c r="G45" s="19">
        <v>1971</v>
      </c>
      <c r="H45" s="19">
        <v>5</v>
      </c>
      <c r="I45" s="19">
        <v>6</v>
      </c>
      <c r="J45" s="19">
        <v>4518.5</v>
      </c>
      <c r="K45" s="19"/>
      <c r="L45" s="19"/>
      <c r="M45" s="19">
        <v>229</v>
      </c>
      <c r="N45" s="15" t="s">
        <v>365</v>
      </c>
      <c r="O45" s="19" t="s">
        <v>366</v>
      </c>
      <c r="P45" s="19"/>
      <c r="Q45" s="157"/>
      <c r="R45" s="158">
        <v>2377151.2400000002</v>
      </c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61">
        <v>124000</v>
      </c>
      <c r="AD45" s="157">
        <f t="shared" si="10"/>
        <v>2501151.2400000002</v>
      </c>
      <c r="AE45" s="157">
        <f t="shared" si="11"/>
        <v>2501151.2400000002</v>
      </c>
      <c r="AF45" s="157"/>
      <c r="AG45" s="157"/>
      <c r="AH45" s="159"/>
      <c r="AI45" s="19">
        <v>2022</v>
      </c>
      <c r="AJ45" s="19">
        <v>2022</v>
      </c>
      <c r="AK45" s="130" t="s">
        <v>387</v>
      </c>
    </row>
    <row r="46" spans="1:37" s="124" customFormat="1" ht="17.25" hidden="1" customHeight="1" x14ac:dyDescent="0.45">
      <c r="A46" s="140"/>
      <c r="B46" s="141"/>
      <c r="C46" s="143"/>
      <c r="D46" s="141"/>
      <c r="E46" s="141"/>
      <c r="F46" s="141"/>
      <c r="G46" s="141"/>
      <c r="H46" s="141"/>
      <c r="I46" s="141"/>
      <c r="J46" s="149"/>
      <c r="K46" s="149"/>
      <c r="L46" s="149"/>
      <c r="M46" s="141"/>
      <c r="N46" s="148"/>
      <c r="O46" s="141"/>
      <c r="P46" s="141"/>
      <c r="Q46" s="155"/>
      <c r="R46" s="156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41"/>
      <c r="AJ46" s="141"/>
    </row>
    <row r="47" spans="1:37" ht="62.25" hidden="1" customHeight="1" x14ac:dyDescent="0.45">
      <c r="A47" s="139">
        <v>1</v>
      </c>
      <c r="B47" s="19">
        <v>1</v>
      </c>
      <c r="C47" s="145" t="s">
        <v>180</v>
      </c>
      <c r="D47" s="19" t="s">
        <v>381</v>
      </c>
      <c r="E47" s="146" t="s">
        <v>382</v>
      </c>
      <c r="F47" s="19" t="s">
        <v>383</v>
      </c>
      <c r="G47" s="19">
        <v>1974</v>
      </c>
      <c r="H47" s="19">
        <v>9</v>
      </c>
      <c r="I47" s="19">
        <v>2</v>
      </c>
      <c r="J47" s="19">
        <v>4733.8</v>
      </c>
      <c r="K47" s="19"/>
      <c r="L47" s="19"/>
      <c r="M47" s="19">
        <v>158</v>
      </c>
      <c r="N47" s="15" t="s">
        <v>365</v>
      </c>
      <c r="O47" s="19" t="s">
        <v>366</v>
      </c>
      <c r="P47" s="19"/>
      <c r="Q47" s="157"/>
      <c r="R47" s="158">
        <v>2377151.2400000002</v>
      </c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61">
        <v>124000</v>
      </c>
      <c r="AD47" s="157">
        <f t="shared" ref="AD47:AD51" si="12">R47+AC47</f>
        <v>2501151.2400000002</v>
      </c>
      <c r="AE47" s="157">
        <f t="shared" ref="AE47:AE51" si="13">AD47</f>
        <v>2501151.2400000002</v>
      </c>
      <c r="AF47" s="157"/>
      <c r="AG47" s="157"/>
      <c r="AH47" s="159"/>
      <c r="AI47" s="19">
        <v>2022</v>
      </c>
      <c r="AJ47" s="19">
        <v>2022</v>
      </c>
      <c r="AK47" s="130" t="s">
        <v>387</v>
      </c>
    </row>
    <row r="48" spans="1:37" s="124" customFormat="1" ht="17.25" hidden="1" customHeight="1" x14ac:dyDescent="0.45">
      <c r="A48" s="140"/>
      <c r="B48" s="141"/>
      <c r="C48" s="143"/>
      <c r="D48" s="141"/>
      <c r="E48" s="141"/>
      <c r="F48" s="141"/>
      <c r="G48" s="141"/>
      <c r="H48" s="141"/>
      <c r="I48" s="141"/>
      <c r="J48" s="149"/>
      <c r="K48" s="149"/>
      <c r="L48" s="149"/>
      <c r="M48" s="141"/>
      <c r="N48" s="148"/>
      <c r="O48" s="141"/>
      <c r="P48" s="141"/>
      <c r="Q48" s="155"/>
      <c r="R48" s="156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41"/>
      <c r="AJ48" s="141"/>
    </row>
    <row r="49" spans="1:37" ht="47.25" hidden="1" customHeight="1" x14ac:dyDescent="0.45">
      <c r="A49" s="139">
        <v>1</v>
      </c>
      <c r="B49" s="19">
        <v>1</v>
      </c>
      <c r="C49" s="145" t="s">
        <v>181</v>
      </c>
      <c r="D49" s="19" t="s">
        <v>381</v>
      </c>
      <c r="E49" s="146" t="s">
        <v>382</v>
      </c>
      <c r="F49" s="19" t="s">
        <v>383</v>
      </c>
      <c r="G49" s="19">
        <v>1966</v>
      </c>
      <c r="H49" s="19">
        <v>5</v>
      </c>
      <c r="I49" s="19">
        <v>4</v>
      </c>
      <c r="J49" s="19">
        <v>2830.7</v>
      </c>
      <c r="K49" s="19"/>
      <c r="L49" s="19"/>
      <c r="M49" s="19">
        <v>120</v>
      </c>
      <c r="N49" s="15" t="s">
        <v>365</v>
      </c>
      <c r="O49" s="19" t="s">
        <v>366</v>
      </c>
      <c r="P49" s="19"/>
      <c r="Q49" s="157"/>
      <c r="R49" s="158">
        <v>2377151.2400000002</v>
      </c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61">
        <v>124000</v>
      </c>
      <c r="AD49" s="157">
        <f t="shared" si="12"/>
        <v>2501151.2400000002</v>
      </c>
      <c r="AE49" s="157">
        <f t="shared" si="13"/>
        <v>2501151.2400000002</v>
      </c>
      <c r="AF49" s="157"/>
      <c r="AG49" s="157"/>
      <c r="AH49" s="159"/>
      <c r="AI49" s="19">
        <v>2022</v>
      </c>
      <c r="AJ49" s="19">
        <v>2022</v>
      </c>
      <c r="AK49" s="130" t="s">
        <v>387</v>
      </c>
    </row>
    <row r="50" spans="1:37" s="124" customFormat="1" ht="17.25" hidden="1" customHeight="1" x14ac:dyDescent="0.45">
      <c r="A50" s="140"/>
      <c r="B50" s="141"/>
      <c r="C50" s="143"/>
      <c r="D50" s="141"/>
      <c r="E50" s="141"/>
      <c r="F50" s="141"/>
      <c r="G50" s="141"/>
      <c r="H50" s="141"/>
      <c r="I50" s="141"/>
      <c r="J50" s="149"/>
      <c r="K50" s="149"/>
      <c r="L50" s="149"/>
      <c r="M50" s="141"/>
      <c r="N50" s="148"/>
      <c r="O50" s="141"/>
      <c r="P50" s="141"/>
      <c r="Q50" s="155"/>
      <c r="R50" s="156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6"/>
      <c r="AI50" s="141"/>
      <c r="AJ50" s="141"/>
    </row>
    <row r="51" spans="1:37" ht="47.25" hidden="1" customHeight="1" x14ac:dyDescent="0.45">
      <c r="A51" s="139">
        <v>1</v>
      </c>
      <c r="B51" s="19">
        <v>1</v>
      </c>
      <c r="C51" s="145" t="s">
        <v>182</v>
      </c>
      <c r="D51" s="19" t="s">
        <v>381</v>
      </c>
      <c r="E51" s="146" t="s">
        <v>382</v>
      </c>
      <c r="F51" s="19" t="s">
        <v>383</v>
      </c>
      <c r="G51" s="19">
        <v>1966</v>
      </c>
      <c r="H51" s="19">
        <v>5</v>
      </c>
      <c r="I51" s="19">
        <v>4</v>
      </c>
      <c r="J51" s="19">
        <v>2736.7</v>
      </c>
      <c r="K51" s="19"/>
      <c r="L51" s="19"/>
      <c r="M51" s="19">
        <v>113</v>
      </c>
      <c r="N51" s="15" t="s">
        <v>365</v>
      </c>
      <c r="O51" s="19" t="s">
        <v>366</v>
      </c>
      <c r="P51" s="19"/>
      <c r="Q51" s="157"/>
      <c r="R51" s="158">
        <v>2377151.2400000002</v>
      </c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61">
        <v>124000</v>
      </c>
      <c r="AD51" s="157">
        <f t="shared" si="12"/>
        <v>2501151.2400000002</v>
      </c>
      <c r="AE51" s="157">
        <f t="shared" si="13"/>
        <v>2501151.2400000002</v>
      </c>
      <c r="AF51" s="157"/>
      <c r="AG51" s="157"/>
      <c r="AH51" s="159"/>
      <c r="AI51" s="19">
        <v>2022</v>
      </c>
      <c r="AJ51" s="19">
        <v>2022</v>
      </c>
      <c r="AK51" s="130" t="s">
        <v>387</v>
      </c>
    </row>
    <row r="52" spans="1:37" s="124" customFormat="1" ht="17.25" hidden="1" customHeight="1" x14ac:dyDescent="0.45">
      <c r="A52" s="140"/>
      <c r="B52" s="141"/>
      <c r="C52" s="143"/>
      <c r="D52" s="141"/>
      <c r="E52" s="141"/>
      <c r="F52" s="141"/>
      <c r="G52" s="141"/>
      <c r="H52" s="141"/>
      <c r="I52" s="141"/>
      <c r="J52" s="149"/>
      <c r="K52" s="149"/>
      <c r="L52" s="149"/>
      <c r="M52" s="141"/>
      <c r="N52" s="148"/>
      <c r="O52" s="141"/>
      <c r="P52" s="141"/>
      <c r="Q52" s="155"/>
      <c r="R52" s="156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6"/>
      <c r="AI52" s="141"/>
      <c r="AJ52" s="141"/>
    </row>
    <row r="53" spans="1:37" ht="47.25" hidden="1" customHeight="1" x14ac:dyDescent="0.45">
      <c r="A53" s="139">
        <v>1</v>
      </c>
      <c r="B53" s="19">
        <v>1</v>
      </c>
      <c r="C53" s="145" t="s">
        <v>183</v>
      </c>
      <c r="D53" s="19" t="s">
        <v>381</v>
      </c>
      <c r="E53" s="146" t="s">
        <v>382</v>
      </c>
      <c r="F53" s="19" t="s">
        <v>383</v>
      </c>
      <c r="G53" s="19" t="s">
        <v>390</v>
      </c>
      <c r="H53" s="19">
        <v>5</v>
      </c>
      <c r="I53" s="19">
        <v>4</v>
      </c>
      <c r="J53" s="19">
        <v>2731.9</v>
      </c>
      <c r="K53" s="19"/>
      <c r="L53" s="19"/>
      <c r="M53" s="19" t="s">
        <v>391</v>
      </c>
      <c r="N53" s="15" t="s">
        <v>365</v>
      </c>
      <c r="O53" s="19" t="s">
        <v>366</v>
      </c>
      <c r="P53" s="19"/>
      <c r="Q53" s="157"/>
      <c r="R53" s="158">
        <v>2377151.2400000002</v>
      </c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61">
        <v>124000</v>
      </c>
      <c r="AD53" s="157">
        <f t="shared" ref="AD53:AD57" si="14">R53+AC53</f>
        <v>2501151.2400000002</v>
      </c>
      <c r="AE53" s="157">
        <f t="shared" ref="AE53:AE57" si="15">AD53</f>
        <v>2501151.2400000002</v>
      </c>
      <c r="AF53" s="157"/>
      <c r="AG53" s="157"/>
      <c r="AH53" s="159"/>
      <c r="AI53" s="19">
        <v>2022</v>
      </c>
      <c r="AJ53" s="19">
        <v>2022</v>
      </c>
      <c r="AK53" s="130" t="s">
        <v>387</v>
      </c>
    </row>
    <row r="54" spans="1:37" s="124" customFormat="1" ht="17.25" hidden="1" customHeight="1" x14ac:dyDescent="0.45">
      <c r="A54" s="140"/>
      <c r="B54" s="141"/>
      <c r="C54" s="143"/>
      <c r="D54" s="141"/>
      <c r="E54" s="141"/>
      <c r="F54" s="141"/>
      <c r="G54" s="141"/>
      <c r="H54" s="141"/>
      <c r="I54" s="141"/>
      <c r="J54" s="149"/>
      <c r="K54" s="149"/>
      <c r="L54" s="149"/>
      <c r="M54" s="141"/>
      <c r="N54" s="148"/>
      <c r="O54" s="141"/>
      <c r="P54" s="141"/>
      <c r="Q54" s="155"/>
      <c r="R54" s="156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6"/>
      <c r="AI54" s="141"/>
      <c r="AJ54" s="141"/>
    </row>
    <row r="55" spans="1:37" ht="47.25" hidden="1" customHeight="1" x14ac:dyDescent="0.45">
      <c r="A55" s="139">
        <v>1</v>
      </c>
      <c r="B55" s="19">
        <v>1</v>
      </c>
      <c r="C55" s="145" t="s">
        <v>184</v>
      </c>
      <c r="D55" s="19" t="s">
        <v>381</v>
      </c>
      <c r="E55" s="146" t="s">
        <v>382</v>
      </c>
      <c r="F55" s="19" t="s">
        <v>383</v>
      </c>
      <c r="G55" s="19" t="s">
        <v>384</v>
      </c>
      <c r="H55" s="19">
        <v>5</v>
      </c>
      <c r="I55" s="19">
        <v>8</v>
      </c>
      <c r="J55" s="19">
        <v>5811.1</v>
      </c>
      <c r="K55" s="19"/>
      <c r="L55" s="19"/>
      <c r="M55" s="19">
        <v>290</v>
      </c>
      <c r="N55" s="15" t="s">
        <v>365</v>
      </c>
      <c r="O55" s="19" t="s">
        <v>366</v>
      </c>
      <c r="P55" s="19"/>
      <c r="Q55" s="157"/>
      <c r="R55" s="158">
        <v>2377151.2400000002</v>
      </c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61">
        <v>124000</v>
      </c>
      <c r="AD55" s="157">
        <f t="shared" si="14"/>
        <v>2501151.2400000002</v>
      </c>
      <c r="AE55" s="157">
        <f t="shared" si="15"/>
        <v>2501151.2400000002</v>
      </c>
      <c r="AF55" s="157"/>
      <c r="AG55" s="157"/>
      <c r="AH55" s="159"/>
      <c r="AI55" s="19">
        <v>2022</v>
      </c>
      <c r="AJ55" s="19">
        <v>2022</v>
      </c>
      <c r="AK55" s="130" t="s">
        <v>387</v>
      </c>
    </row>
    <row r="56" spans="1:37" s="124" customFormat="1" ht="17.25" hidden="1" customHeight="1" x14ac:dyDescent="0.45">
      <c r="A56" s="140"/>
      <c r="B56" s="141"/>
      <c r="C56" s="143"/>
      <c r="D56" s="141"/>
      <c r="E56" s="141"/>
      <c r="F56" s="141"/>
      <c r="G56" s="141"/>
      <c r="H56" s="141"/>
      <c r="I56" s="141"/>
      <c r="J56" s="149"/>
      <c r="K56" s="149"/>
      <c r="L56" s="149"/>
      <c r="M56" s="141"/>
      <c r="N56" s="148"/>
      <c r="O56" s="141"/>
      <c r="P56" s="141"/>
      <c r="Q56" s="155"/>
      <c r="R56" s="156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6"/>
      <c r="AI56" s="141"/>
      <c r="AJ56" s="141"/>
    </row>
    <row r="57" spans="1:37" ht="47.25" hidden="1" customHeight="1" x14ac:dyDescent="0.45">
      <c r="A57" s="139">
        <v>1</v>
      </c>
      <c r="B57" s="19">
        <v>1</v>
      </c>
      <c r="C57" s="145" t="s">
        <v>185</v>
      </c>
      <c r="D57" s="19" t="s">
        <v>381</v>
      </c>
      <c r="E57" s="146" t="s">
        <v>382</v>
      </c>
      <c r="F57" s="19" t="s">
        <v>383</v>
      </c>
      <c r="G57" s="19" t="s">
        <v>392</v>
      </c>
      <c r="H57" s="19">
        <v>9</v>
      </c>
      <c r="I57" s="19">
        <v>2</v>
      </c>
      <c r="J57" s="19">
        <v>3836.2</v>
      </c>
      <c r="K57" s="19"/>
      <c r="L57" s="19"/>
      <c r="M57" s="19">
        <v>164</v>
      </c>
      <c r="N57" s="15" t="s">
        <v>365</v>
      </c>
      <c r="O57" s="19" t="s">
        <v>366</v>
      </c>
      <c r="P57" s="19"/>
      <c r="Q57" s="157"/>
      <c r="R57" s="158">
        <v>2377151.2400000002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61">
        <v>124000</v>
      </c>
      <c r="AD57" s="157">
        <f t="shared" si="14"/>
        <v>2501151.2400000002</v>
      </c>
      <c r="AE57" s="157">
        <f t="shared" si="15"/>
        <v>2501151.2400000002</v>
      </c>
      <c r="AF57" s="157"/>
      <c r="AG57" s="157"/>
      <c r="AH57" s="159"/>
      <c r="AI57" s="19">
        <v>2022</v>
      </c>
      <c r="AJ57" s="19">
        <v>2022</v>
      </c>
      <c r="AK57" s="130" t="s">
        <v>387</v>
      </c>
    </row>
    <row r="58" spans="1:37" s="124" customFormat="1" ht="17.25" hidden="1" customHeight="1" x14ac:dyDescent="0.45">
      <c r="A58" s="140"/>
      <c r="B58" s="141"/>
      <c r="C58" s="143"/>
      <c r="D58" s="141"/>
      <c r="E58" s="141"/>
      <c r="F58" s="141"/>
      <c r="G58" s="141"/>
      <c r="H58" s="141"/>
      <c r="I58" s="141"/>
      <c r="J58" s="149"/>
      <c r="K58" s="149"/>
      <c r="L58" s="149"/>
      <c r="M58" s="141"/>
      <c r="N58" s="148"/>
      <c r="O58" s="141"/>
      <c r="P58" s="141"/>
      <c r="Q58" s="155"/>
      <c r="R58" s="156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1"/>
      <c r="AJ58" s="141"/>
    </row>
    <row r="59" spans="1:37" ht="84.75" hidden="1" customHeight="1" x14ac:dyDescent="0.45">
      <c r="A59" s="139">
        <v>1</v>
      </c>
      <c r="B59" s="19">
        <v>1</v>
      </c>
      <c r="C59" s="147" t="s">
        <v>161</v>
      </c>
      <c r="D59" s="19" t="s">
        <v>381</v>
      </c>
      <c r="E59" s="146" t="s">
        <v>382</v>
      </c>
      <c r="F59" s="19" t="s">
        <v>383</v>
      </c>
      <c r="G59" s="19">
        <v>1978</v>
      </c>
      <c r="H59" s="19">
        <v>9</v>
      </c>
      <c r="I59" s="19">
        <v>2</v>
      </c>
      <c r="J59" s="19">
        <v>4527</v>
      </c>
      <c r="K59" s="19">
        <v>3885.7</v>
      </c>
      <c r="L59" s="19">
        <v>3767.5</v>
      </c>
      <c r="M59" s="19" t="s">
        <v>364</v>
      </c>
      <c r="N59" s="19" t="s">
        <v>365</v>
      </c>
      <c r="O59" s="19" t="s">
        <v>366</v>
      </c>
      <c r="P59" s="19"/>
      <c r="Q59" s="157"/>
      <c r="R59" s="159"/>
      <c r="S59" s="157"/>
      <c r="T59" s="157"/>
      <c r="U59" s="157"/>
      <c r="V59" s="157"/>
      <c r="W59" s="157"/>
      <c r="X59" s="160">
        <v>3702831.57</v>
      </c>
      <c r="Y59" s="157"/>
      <c r="Z59" s="157"/>
      <c r="AA59" s="157"/>
      <c r="AB59" s="157"/>
      <c r="AC59" s="160">
        <v>151890.07999999999</v>
      </c>
      <c r="AD59" s="157">
        <f t="shared" ref="AD59:AD63" si="16">X59+AC59</f>
        <v>3854721.65</v>
      </c>
      <c r="AE59" s="157"/>
      <c r="AF59" s="157"/>
      <c r="AG59" s="157">
        <f t="shared" ref="AG59:AG63" si="17">AD59</f>
        <v>3854721.65</v>
      </c>
      <c r="AH59" s="159"/>
      <c r="AI59" s="19">
        <v>2022</v>
      </c>
      <c r="AJ59" s="19">
        <v>2022</v>
      </c>
      <c r="AK59" s="130" t="s">
        <v>393</v>
      </c>
    </row>
    <row r="60" spans="1:37" ht="17.25" hidden="1" customHeight="1" x14ac:dyDescent="0.45">
      <c r="A60" s="139"/>
      <c r="B60" s="141"/>
      <c r="C60" s="143"/>
      <c r="D60" s="141"/>
      <c r="E60" s="141"/>
      <c r="F60" s="141"/>
      <c r="G60" s="141"/>
      <c r="H60" s="141"/>
      <c r="I60" s="141"/>
      <c r="J60" s="149"/>
      <c r="K60" s="149"/>
      <c r="L60" s="149"/>
      <c r="M60" s="141"/>
      <c r="N60" s="148"/>
      <c r="O60" s="141"/>
      <c r="P60" s="141"/>
      <c r="Q60" s="155"/>
      <c r="R60" s="156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41"/>
      <c r="AJ60" s="141"/>
    </row>
    <row r="61" spans="1:37" ht="64.5" hidden="1" customHeight="1" x14ac:dyDescent="0.45">
      <c r="A61" s="139">
        <v>1</v>
      </c>
      <c r="B61" s="19">
        <v>1</v>
      </c>
      <c r="C61" s="147" t="s">
        <v>162</v>
      </c>
      <c r="D61" s="19" t="s">
        <v>381</v>
      </c>
      <c r="E61" s="146" t="s">
        <v>382</v>
      </c>
      <c r="F61" s="19" t="s">
        <v>383</v>
      </c>
      <c r="G61" s="19">
        <v>1977</v>
      </c>
      <c r="H61" s="19">
        <v>9</v>
      </c>
      <c r="I61" s="19">
        <v>4</v>
      </c>
      <c r="J61" s="19">
        <v>7622</v>
      </c>
      <c r="K61" s="19">
        <v>7607.1</v>
      </c>
      <c r="L61" s="19">
        <v>7532.23</v>
      </c>
      <c r="M61" s="19" t="s">
        <v>364</v>
      </c>
      <c r="N61" s="19" t="s">
        <v>365</v>
      </c>
      <c r="O61" s="19" t="s">
        <v>366</v>
      </c>
      <c r="P61" s="19"/>
      <c r="Q61" s="157"/>
      <c r="R61" s="159"/>
      <c r="S61" s="157"/>
      <c r="T61" s="157"/>
      <c r="U61" s="157"/>
      <c r="V61" s="157"/>
      <c r="W61" s="157"/>
      <c r="X61" s="160">
        <v>7405663.1399999997</v>
      </c>
      <c r="Y61" s="157"/>
      <c r="Z61" s="19"/>
      <c r="AA61" s="19"/>
      <c r="AB61" s="157"/>
      <c r="AC61" s="160">
        <v>303780.15999999997</v>
      </c>
      <c r="AD61" s="157">
        <f t="shared" si="16"/>
        <v>7709443.2999999998</v>
      </c>
      <c r="AE61" s="157"/>
      <c r="AF61" s="157"/>
      <c r="AG61" s="157">
        <f t="shared" si="17"/>
        <v>7709443.2999999998</v>
      </c>
      <c r="AH61" s="159"/>
      <c r="AI61" s="19">
        <v>2022</v>
      </c>
      <c r="AJ61" s="19">
        <v>2022</v>
      </c>
      <c r="AK61" s="130" t="s">
        <v>393</v>
      </c>
    </row>
    <row r="62" spans="1:37" ht="18.75" hidden="1" customHeight="1" x14ac:dyDescent="0.45">
      <c r="A62" s="139"/>
      <c r="B62" s="141"/>
      <c r="C62" s="143"/>
      <c r="D62" s="141"/>
      <c r="E62" s="141"/>
      <c r="F62" s="141"/>
      <c r="G62" s="141"/>
      <c r="H62" s="141"/>
      <c r="I62" s="141"/>
      <c r="J62" s="149"/>
      <c r="K62" s="149"/>
      <c r="L62" s="149"/>
      <c r="M62" s="141"/>
      <c r="N62" s="148"/>
      <c r="O62" s="141"/>
      <c r="P62" s="141"/>
      <c r="Q62" s="155"/>
      <c r="R62" s="156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6"/>
      <c r="AI62" s="141"/>
      <c r="AJ62" s="141"/>
    </row>
    <row r="63" spans="1:37" ht="67.5" hidden="1" customHeight="1" x14ac:dyDescent="0.45">
      <c r="A63" s="139">
        <v>1</v>
      </c>
      <c r="B63" s="19">
        <v>1</v>
      </c>
      <c r="C63" s="147" t="s">
        <v>163</v>
      </c>
      <c r="D63" s="19" t="s">
        <v>381</v>
      </c>
      <c r="E63" s="146" t="s">
        <v>382</v>
      </c>
      <c r="F63" s="19" t="s">
        <v>383</v>
      </c>
      <c r="G63" s="19">
        <v>1977</v>
      </c>
      <c r="H63" s="19">
        <v>9</v>
      </c>
      <c r="I63" s="19">
        <v>1</v>
      </c>
      <c r="J63" s="19">
        <v>2691</v>
      </c>
      <c r="K63" s="19">
        <v>2378</v>
      </c>
      <c r="L63" s="19">
        <v>2378.1999999999998</v>
      </c>
      <c r="M63" s="19" t="s">
        <v>364</v>
      </c>
      <c r="N63" s="19" t="s">
        <v>365</v>
      </c>
      <c r="O63" s="19" t="s">
        <v>366</v>
      </c>
      <c r="P63" s="19"/>
      <c r="Q63" s="157"/>
      <c r="R63" s="159"/>
      <c r="S63" s="157"/>
      <c r="T63" s="157"/>
      <c r="U63" s="157"/>
      <c r="V63" s="157"/>
      <c r="W63" s="157"/>
      <c r="X63" s="160">
        <v>1851415.78</v>
      </c>
      <c r="Y63" s="157"/>
      <c r="Z63" s="19"/>
      <c r="AA63" s="19"/>
      <c r="AB63" s="157"/>
      <c r="AC63" s="160">
        <v>75945.039999999994</v>
      </c>
      <c r="AD63" s="157">
        <f t="shared" si="16"/>
        <v>1927360.82</v>
      </c>
      <c r="AE63" s="157"/>
      <c r="AF63" s="157"/>
      <c r="AG63" s="157">
        <f t="shared" si="17"/>
        <v>1927360.82</v>
      </c>
      <c r="AH63" s="159"/>
      <c r="AI63" s="19">
        <v>2022</v>
      </c>
      <c r="AJ63" s="19">
        <v>2022</v>
      </c>
      <c r="AK63" s="130" t="s">
        <v>393</v>
      </c>
    </row>
    <row r="64" spans="1:37" ht="18.75" hidden="1" customHeight="1" x14ac:dyDescent="0.45">
      <c r="A64" s="139"/>
      <c r="B64" s="141"/>
      <c r="C64" s="143"/>
      <c r="D64" s="141"/>
      <c r="E64" s="141"/>
      <c r="F64" s="141"/>
      <c r="G64" s="141"/>
      <c r="H64" s="141"/>
      <c r="I64" s="141"/>
      <c r="J64" s="149"/>
      <c r="K64" s="149"/>
      <c r="L64" s="149"/>
      <c r="M64" s="141"/>
      <c r="N64" s="148"/>
      <c r="O64" s="141"/>
      <c r="P64" s="141"/>
      <c r="Q64" s="155"/>
      <c r="R64" s="156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6"/>
      <c r="AI64" s="141"/>
      <c r="AJ64" s="141"/>
    </row>
    <row r="65" spans="1:37" ht="99.75" hidden="1" customHeight="1" x14ac:dyDescent="0.45">
      <c r="A65" s="139">
        <v>1</v>
      </c>
      <c r="B65" s="19">
        <v>1</v>
      </c>
      <c r="C65" s="147" t="s">
        <v>164</v>
      </c>
      <c r="D65" s="19" t="s">
        <v>381</v>
      </c>
      <c r="E65" s="146" t="s">
        <v>382</v>
      </c>
      <c r="F65" s="19" t="s">
        <v>383</v>
      </c>
      <c r="G65" s="19">
        <v>1977</v>
      </c>
      <c r="H65" s="19">
        <v>9</v>
      </c>
      <c r="I65" s="19">
        <v>4</v>
      </c>
      <c r="J65" s="19">
        <v>7694</v>
      </c>
      <c r="K65" s="19">
        <v>7688.7</v>
      </c>
      <c r="L65" s="19">
        <v>7626.8</v>
      </c>
      <c r="M65" s="19" t="s">
        <v>364</v>
      </c>
      <c r="N65" s="19" t="s">
        <v>365</v>
      </c>
      <c r="O65" s="19" t="s">
        <v>366</v>
      </c>
      <c r="P65" s="19"/>
      <c r="Q65" s="157"/>
      <c r="R65" s="158">
        <v>4754302.4800000004</v>
      </c>
      <c r="S65" s="157"/>
      <c r="T65" s="157"/>
      <c r="U65" s="157"/>
      <c r="V65" s="157"/>
      <c r="W65" s="157"/>
      <c r="X65" s="160">
        <v>7405663.1399999997</v>
      </c>
      <c r="Y65" s="157"/>
      <c r="Z65" s="19"/>
      <c r="AA65" s="19"/>
      <c r="AB65" s="157"/>
      <c r="AC65" s="160">
        <f>303780.16+248000</f>
        <v>551780.15999999992</v>
      </c>
      <c r="AD65" s="157">
        <f>X65+AC65+R65</f>
        <v>12711745.780000001</v>
      </c>
      <c r="AE65" s="157" t="s">
        <v>394</v>
      </c>
      <c r="AF65" s="157"/>
      <c r="AG65" s="157">
        <f>AD65</f>
        <v>12711745.780000001</v>
      </c>
      <c r="AH65" s="159"/>
      <c r="AI65" s="19">
        <v>2022</v>
      </c>
      <c r="AJ65" s="19">
        <v>2022</v>
      </c>
      <c r="AK65" s="130" t="s">
        <v>393</v>
      </c>
    </row>
    <row r="66" spans="1:37" s="124" customFormat="1" ht="22.5" hidden="1" customHeight="1" x14ac:dyDescent="0.45">
      <c r="A66" s="140"/>
      <c r="B66" s="141"/>
      <c r="C66" s="143"/>
      <c r="D66" s="141"/>
      <c r="E66" s="141"/>
      <c r="F66" s="141"/>
      <c r="G66" s="141"/>
      <c r="H66" s="141"/>
      <c r="I66" s="141"/>
      <c r="J66" s="149"/>
      <c r="K66" s="149"/>
      <c r="L66" s="149"/>
      <c r="M66" s="141"/>
      <c r="N66" s="148"/>
      <c r="O66" s="141"/>
      <c r="P66" s="141"/>
      <c r="Q66" s="155"/>
      <c r="R66" s="156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6"/>
      <c r="AI66" s="141"/>
      <c r="AJ66" s="141"/>
    </row>
    <row r="67" spans="1:37" ht="70.8" hidden="1" customHeight="1" x14ac:dyDescent="0.45">
      <c r="A67" s="139">
        <v>1</v>
      </c>
      <c r="B67" s="19">
        <v>280</v>
      </c>
      <c r="C67" s="138" t="s">
        <v>186</v>
      </c>
      <c r="D67" s="19" t="s">
        <v>395</v>
      </c>
      <c r="E67" s="146" t="s">
        <v>396</v>
      </c>
      <c r="F67" s="19"/>
      <c r="G67" s="19">
        <v>1950</v>
      </c>
      <c r="H67" s="19">
        <v>2</v>
      </c>
      <c r="I67" s="19">
        <v>2</v>
      </c>
      <c r="J67" s="23">
        <v>785.4</v>
      </c>
      <c r="K67" s="23">
        <v>709.9</v>
      </c>
      <c r="L67" s="23">
        <v>423.6</v>
      </c>
      <c r="M67" s="19">
        <v>16</v>
      </c>
      <c r="N67" s="19" t="s">
        <v>365</v>
      </c>
      <c r="O67" s="19" t="s">
        <v>366</v>
      </c>
      <c r="P67" s="19"/>
      <c r="Q67" s="157"/>
      <c r="R67" s="159"/>
      <c r="S67" s="157"/>
      <c r="T67" s="157"/>
      <c r="U67" s="157"/>
      <c r="V67" s="157"/>
      <c r="W67" s="157"/>
      <c r="X67" s="157"/>
      <c r="Y67" s="28">
        <f>ROUND(K67*8645.31*1.015,2)</f>
        <v>6229365.1500000004</v>
      </c>
      <c r="Z67" s="28"/>
      <c r="AA67" s="28">
        <f>ROUND(K67*6480.9*1.015,2)</f>
        <v>4669802.7699999996</v>
      </c>
      <c r="AB67" s="28">
        <v>1006152.31</v>
      </c>
      <c r="AC67" s="28">
        <v>748788.68</v>
      </c>
      <c r="AD67" s="157">
        <f>Y67+AA67+AB67+AC67</f>
        <v>12654108.91</v>
      </c>
      <c r="AE67" s="157"/>
      <c r="AF67" s="157"/>
      <c r="AG67" s="157"/>
      <c r="AH67" s="159"/>
      <c r="AI67" s="19">
        <v>2022</v>
      </c>
      <c r="AJ67" s="19">
        <v>2023</v>
      </c>
      <c r="AK67" s="130" t="s">
        <v>397</v>
      </c>
    </row>
    <row r="68" spans="1:37" ht="22.5" hidden="1" customHeight="1" x14ac:dyDescent="0.45">
      <c r="A68" s="140"/>
      <c r="B68" s="141"/>
      <c r="C68" s="143"/>
      <c r="D68" s="141"/>
      <c r="E68" s="141"/>
      <c r="F68" s="141"/>
      <c r="G68" s="141"/>
      <c r="H68" s="141"/>
      <c r="I68" s="141"/>
      <c r="J68" s="149"/>
      <c r="K68" s="149"/>
      <c r="L68" s="149"/>
      <c r="M68" s="141"/>
      <c r="N68" s="148"/>
      <c r="O68" s="141"/>
      <c r="P68" s="141"/>
      <c r="Q68" s="155"/>
      <c r="R68" s="156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6"/>
      <c r="AI68" s="141"/>
      <c r="AJ68" s="141"/>
    </row>
    <row r="69" spans="1:37" ht="72" hidden="1" customHeight="1" x14ac:dyDescent="0.45">
      <c r="A69" s="139">
        <v>1</v>
      </c>
      <c r="B69" s="19">
        <v>1</v>
      </c>
      <c r="C69" s="145" t="s">
        <v>187</v>
      </c>
      <c r="D69" s="19" t="s">
        <v>381</v>
      </c>
      <c r="E69" s="146" t="s">
        <v>382</v>
      </c>
      <c r="F69" s="19" t="s">
        <v>383</v>
      </c>
      <c r="G69" s="19" t="s">
        <v>388</v>
      </c>
      <c r="H69" s="19">
        <v>5</v>
      </c>
      <c r="I69" s="19">
        <v>6</v>
      </c>
      <c r="J69" s="23">
        <v>3410.8</v>
      </c>
      <c r="K69" s="23"/>
      <c r="L69" s="23"/>
      <c r="M69" s="19">
        <v>153</v>
      </c>
      <c r="N69" s="15" t="s">
        <v>365</v>
      </c>
      <c r="O69" s="19" t="s">
        <v>366</v>
      </c>
      <c r="P69" s="19"/>
      <c r="Q69" s="157"/>
      <c r="R69" s="158">
        <v>4754302.4800000004</v>
      </c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61">
        <v>248000</v>
      </c>
      <c r="AD69" s="157">
        <f>R69+AC69</f>
        <v>5002302.4800000004</v>
      </c>
      <c r="AE69" s="157"/>
      <c r="AF69" s="157"/>
      <c r="AG69" s="157"/>
      <c r="AH69" s="159"/>
      <c r="AI69" s="19">
        <v>2022</v>
      </c>
      <c r="AJ69" s="19">
        <v>2022</v>
      </c>
      <c r="AK69" s="130" t="s">
        <v>393</v>
      </c>
    </row>
    <row r="70" spans="1:37" ht="24.75" hidden="1" customHeight="1" x14ac:dyDescent="0.45">
      <c r="A70" s="140"/>
      <c r="B70" s="141"/>
      <c r="C70" s="143"/>
      <c r="D70" s="141"/>
      <c r="E70" s="141"/>
      <c r="F70" s="141"/>
      <c r="G70" s="141"/>
      <c r="H70" s="141"/>
      <c r="I70" s="141"/>
      <c r="J70" s="149"/>
      <c r="K70" s="149"/>
      <c r="L70" s="149"/>
      <c r="M70" s="141"/>
      <c r="N70" s="148"/>
      <c r="O70" s="141"/>
      <c r="P70" s="141"/>
      <c r="Q70" s="155"/>
      <c r="R70" s="156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6"/>
      <c r="AI70" s="141"/>
      <c r="AJ70" s="141"/>
    </row>
    <row r="71" spans="1:37" ht="69.599999999999994" hidden="1" customHeight="1" x14ac:dyDescent="0.45">
      <c r="A71" s="139">
        <v>1</v>
      </c>
      <c r="B71" s="19">
        <v>253</v>
      </c>
      <c r="C71" s="138" t="s">
        <v>398</v>
      </c>
      <c r="D71" s="19"/>
      <c r="E71" s="19"/>
      <c r="F71" s="19" t="s">
        <v>399</v>
      </c>
      <c r="G71" s="19">
        <v>1968</v>
      </c>
      <c r="H71" s="19">
        <v>5</v>
      </c>
      <c r="I71" s="19">
        <v>4</v>
      </c>
      <c r="J71" s="23">
        <v>3032.3</v>
      </c>
      <c r="K71" s="23">
        <v>3004.5</v>
      </c>
      <c r="L71" s="23">
        <v>2880.1</v>
      </c>
      <c r="M71" s="19">
        <v>158</v>
      </c>
      <c r="N71" s="15" t="s">
        <v>365</v>
      </c>
      <c r="O71" s="19" t="s">
        <v>366</v>
      </c>
      <c r="P71" s="19"/>
      <c r="Q71" s="28"/>
      <c r="R71" s="37"/>
      <c r="S71" s="28"/>
      <c r="T71" s="28"/>
      <c r="U71" s="28"/>
      <c r="V71" s="28"/>
      <c r="W71" s="28"/>
      <c r="X71" s="28"/>
      <c r="Y71" s="28">
        <v>10377091.949999999</v>
      </c>
      <c r="Z71" s="28"/>
      <c r="AA71" s="28"/>
      <c r="AB71" s="28"/>
      <c r="AC71" s="28">
        <v>685877.2</v>
      </c>
      <c r="AD71" s="28">
        <f>SUM(Q71:AC71)</f>
        <v>11062969.149999999</v>
      </c>
      <c r="AE71" s="28"/>
      <c r="AF71" s="28"/>
      <c r="AG71" s="28">
        <f>SUM(Y71+AC71)</f>
        <v>11062969.149999999</v>
      </c>
      <c r="AH71" s="37"/>
      <c r="AI71" s="19">
        <v>2022</v>
      </c>
      <c r="AJ71" s="19">
        <v>2022</v>
      </c>
    </row>
    <row r="72" spans="1:37" s="124" customFormat="1" ht="24.75" hidden="1" customHeight="1" x14ac:dyDescent="0.45">
      <c r="A72" s="140"/>
      <c r="B72" s="141"/>
      <c r="C72" s="143"/>
      <c r="D72" s="141"/>
      <c r="E72" s="141"/>
      <c r="F72" s="141"/>
      <c r="G72" s="141"/>
      <c r="H72" s="141"/>
      <c r="I72" s="141"/>
      <c r="J72" s="149"/>
      <c r="K72" s="149"/>
      <c r="L72" s="149"/>
      <c r="M72" s="141"/>
      <c r="N72" s="148"/>
      <c r="O72" s="141"/>
      <c r="P72" s="141"/>
      <c r="Q72" s="155"/>
      <c r="R72" s="156"/>
      <c r="S72" s="155"/>
      <c r="T72" s="155"/>
      <c r="U72" s="155"/>
      <c r="V72" s="155"/>
      <c r="W72" s="155"/>
      <c r="X72" s="155"/>
      <c r="Y72" s="155">
        <v>10377091.949999999</v>
      </c>
      <c r="Z72" s="155"/>
      <c r="AA72" s="155"/>
      <c r="AB72" s="155"/>
      <c r="AC72" s="155">
        <v>685877.2</v>
      </c>
      <c r="AD72" s="155">
        <f>SUM(Q72:AC72)</f>
        <v>11062969.149999999</v>
      </c>
      <c r="AE72" s="155"/>
      <c r="AF72" s="155"/>
      <c r="AG72" s="155">
        <f>SUM(Y72+AC72)</f>
        <v>11062969.149999999</v>
      </c>
      <c r="AH72" s="156"/>
      <c r="AI72" s="141"/>
      <c r="AJ72" s="141"/>
    </row>
    <row r="73" spans="1:37" ht="77.25" hidden="1" customHeight="1" x14ac:dyDescent="0.45">
      <c r="A73" s="139">
        <v>1</v>
      </c>
      <c r="B73" s="19">
        <v>1</v>
      </c>
      <c r="C73" s="145" t="s">
        <v>188</v>
      </c>
      <c r="D73" s="19" t="s">
        <v>381</v>
      </c>
      <c r="E73" s="146" t="s">
        <v>382</v>
      </c>
      <c r="F73" s="19" t="s">
        <v>383</v>
      </c>
      <c r="G73" s="19">
        <v>1967</v>
      </c>
      <c r="H73" s="19">
        <v>5</v>
      </c>
      <c r="I73" s="19">
        <v>6</v>
      </c>
      <c r="J73" s="23">
        <v>4433.1000000000004</v>
      </c>
      <c r="K73" s="23"/>
      <c r="L73" s="23"/>
      <c r="M73" s="19">
        <v>204</v>
      </c>
      <c r="N73" s="15" t="s">
        <v>365</v>
      </c>
      <c r="O73" s="19" t="s">
        <v>366</v>
      </c>
      <c r="P73" s="19"/>
      <c r="Q73" s="157"/>
      <c r="R73" s="158">
        <v>2377151.2400000002</v>
      </c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61">
        <v>124000</v>
      </c>
      <c r="AD73" s="157">
        <f t="shared" ref="AD73:AD77" si="18">R73+AC73</f>
        <v>2501151.2400000002</v>
      </c>
      <c r="AE73" s="157">
        <f t="shared" ref="AE73:AE77" si="19">AD73</f>
        <v>2501151.2400000002</v>
      </c>
      <c r="AF73" s="157"/>
      <c r="AG73" s="157"/>
      <c r="AH73" s="159"/>
      <c r="AI73" s="19">
        <v>2022</v>
      </c>
      <c r="AJ73" s="19">
        <v>2022</v>
      </c>
      <c r="AK73" s="130" t="s">
        <v>387</v>
      </c>
    </row>
    <row r="74" spans="1:37" s="124" customFormat="1" ht="18.75" hidden="1" customHeight="1" x14ac:dyDescent="0.45">
      <c r="A74" s="140"/>
      <c r="B74" s="141"/>
      <c r="C74" s="143"/>
      <c r="D74" s="141"/>
      <c r="E74" s="141"/>
      <c r="F74" s="141"/>
      <c r="G74" s="141"/>
      <c r="H74" s="141"/>
      <c r="I74" s="141"/>
      <c r="J74" s="149"/>
      <c r="K74" s="149"/>
      <c r="L74" s="149"/>
      <c r="M74" s="141"/>
      <c r="N74" s="148"/>
      <c r="O74" s="141"/>
      <c r="P74" s="141"/>
      <c r="Q74" s="155"/>
      <c r="R74" s="156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6"/>
      <c r="AI74" s="141"/>
      <c r="AJ74" s="141"/>
    </row>
    <row r="75" spans="1:37" ht="60" hidden="1" customHeight="1" x14ac:dyDescent="0.45">
      <c r="A75" s="139">
        <v>1</v>
      </c>
      <c r="B75" s="19">
        <v>1</v>
      </c>
      <c r="C75" s="145" t="s">
        <v>189</v>
      </c>
      <c r="D75" s="19" t="s">
        <v>381</v>
      </c>
      <c r="E75" s="146" t="s">
        <v>382</v>
      </c>
      <c r="F75" s="19" t="s">
        <v>383</v>
      </c>
      <c r="G75" s="19">
        <v>1980</v>
      </c>
      <c r="H75" s="19">
        <v>9</v>
      </c>
      <c r="I75" s="19">
        <v>1</v>
      </c>
      <c r="J75" s="23">
        <v>2707</v>
      </c>
      <c r="K75" s="23"/>
      <c r="L75" s="23"/>
      <c r="M75" s="19">
        <v>113</v>
      </c>
      <c r="N75" s="15" t="s">
        <v>365</v>
      </c>
      <c r="O75" s="19" t="s">
        <v>366</v>
      </c>
      <c r="P75" s="19"/>
      <c r="Q75" s="157"/>
      <c r="R75" s="158">
        <v>2377151.2400000002</v>
      </c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61">
        <v>124000</v>
      </c>
      <c r="AD75" s="157">
        <f t="shared" si="18"/>
        <v>2501151.2400000002</v>
      </c>
      <c r="AE75" s="157">
        <f t="shared" si="19"/>
        <v>2501151.2400000002</v>
      </c>
      <c r="AF75" s="157"/>
      <c r="AG75" s="157"/>
      <c r="AH75" s="159"/>
      <c r="AI75" s="19">
        <v>2022</v>
      </c>
      <c r="AJ75" s="19">
        <v>2022</v>
      </c>
      <c r="AK75" s="130" t="s">
        <v>387</v>
      </c>
    </row>
    <row r="76" spans="1:37" s="124" customFormat="1" ht="18.75" hidden="1" customHeight="1" x14ac:dyDescent="0.45">
      <c r="A76" s="140"/>
      <c r="B76" s="141"/>
      <c r="C76" s="143"/>
      <c r="D76" s="141"/>
      <c r="E76" s="141"/>
      <c r="F76" s="141"/>
      <c r="G76" s="141"/>
      <c r="H76" s="141"/>
      <c r="I76" s="141"/>
      <c r="J76" s="149"/>
      <c r="K76" s="149"/>
      <c r="L76" s="149"/>
      <c r="M76" s="141"/>
      <c r="N76" s="148"/>
      <c r="O76" s="141"/>
      <c r="P76" s="141"/>
      <c r="Q76" s="155"/>
      <c r="R76" s="156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6"/>
      <c r="AI76" s="141"/>
      <c r="AJ76" s="141"/>
    </row>
    <row r="77" spans="1:37" ht="60" hidden="1" customHeight="1" x14ac:dyDescent="0.45">
      <c r="A77" s="139">
        <v>1</v>
      </c>
      <c r="B77" s="19">
        <v>1</v>
      </c>
      <c r="C77" s="145" t="s">
        <v>190</v>
      </c>
      <c r="D77" s="19" t="s">
        <v>381</v>
      </c>
      <c r="E77" s="146" t="s">
        <v>382</v>
      </c>
      <c r="F77" s="19" t="s">
        <v>383</v>
      </c>
      <c r="G77" s="19">
        <v>1981</v>
      </c>
      <c r="H77" s="19">
        <v>9</v>
      </c>
      <c r="I77" s="19">
        <v>1</v>
      </c>
      <c r="J77" s="23">
        <v>1886.3</v>
      </c>
      <c r="K77" s="23"/>
      <c r="L77" s="23"/>
      <c r="M77" s="19">
        <v>41</v>
      </c>
      <c r="N77" s="15" t="s">
        <v>365</v>
      </c>
      <c r="O77" s="19" t="s">
        <v>366</v>
      </c>
      <c r="P77" s="19"/>
      <c r="Q77" s="157"/>
      <c r="R77" s="158">
        <v>4754302.4800000004</v>
      </c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61">
        <v>248000</v>
      </c>
      <c r="AD77" s="157">
        <f t="shared" si="18"/>
        <v>5002302.4800000004</v>
      </c>
      <c r="AE77" s="157">
        <f t="shared" si="19"/>
        <v>5002302.4800000004</v>
      </c>
      <c r="AF77" s="157"/>
      <c r="AG77" s="157"/>
      <c r="AH77" s="159"/>
      <c r="AI77" s="19">
        <v>2022</v>
      </c>
      <c r="AJ77" s="19">
        <v>2022</v>
      </c>
      <c r="AK77" s="130" t="s">
        <v>387</v>
      </c>
    </row>
    <row r="78" spans="1:37" s="124" customFormat="1" ht="18.75" hidden="1" customHeight="1" x14ac:dyDescent="0.45">
      <c r="A78" s="140"/>
      <c r="B78" s="141"/>
      <c r="C78" s="143"/>
      <c r="D78" s="141"/>
      <c r="E78" s="141"/>
      <c r="F78" s="141"/>
      <c r="G78" s="141"/>
      <c r="H78" s="141"/>
      <c r="I78" s="141"/>
      <c r="J78" s="149"/>
      <c r="K78" s="149"/>
      <c r="L78" s="149"/>
      <c r="M78" s="141"/>
      <c r="N78" s="148"/>
      <c r="O78" s="141"/>
      <c r="P78" s="141"/>
      <c r="Q78" s="155"/>
      <c r="R78" s="156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6"/>
      <c r="AI78" s="141"/>
      <c r="AJ78" s="141"/>
    </row>
    <row r="79" spans="1:37" ht="60" hidden="1" customHeight="1" x14ac:dyDescent="0.45">
      <c r="A79" s="139">
        <v>1</v>
      </c>
      <c r="B79" s="19">
        <v>1</v>
      </c>
      <c r="C79" s="145" t="s">
        <v>191</v>
      </c>
      <c r="D79" s="19" t="s">
        <v>381</v>
      </c>
      <c r="E79" s="146" t="s">
        <v>382</v>
      </c>
      <c r="F79" s="19" t="s">
        <v>383</v>
      </c>
      <c r="G79" s="19">
        <v>1981</v>
      </c>
      <c r="H79" s="19">
        <v>9</v>
      </c>
      <c r="I79" s="19">
        <v>2</v>
      </c>
      <c r="J79" s="23">
        <v>4496</v>
      </c>
      <c r="K79" s="23"/>
      <c r="L79" s="23"/>
      <c r="M79" s="19" t="s">
        <v>364</v>
      </c>
      <c r="N79" s="15" t="s">
        <v>365</v>
      </c>
      <c r="O79" s="19" t="s">
        <v>366</v>
      </c>
      <c r="P79" s="19"/>
      <c r="Q79" s="157"/>
      <c r="R79" s="158">
        <v>2377151.2400000002</v>
      </c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61">
        <v>124000</v>
      </c>
      <c r="AD79" s="157">
        <f t="shared" ref="AD79:AD83" si="20">R79+AC79</f>
        <v>2501151.2400000002</v>
      </c>
      <c r="AE79" s="157">
        <f t="shared" ref="AE79:AE83" si="21">AD79</f>
        <v>2501151.2400000002</v>
      </c>
      <c r="AF79" s="157"/>
      <c r="AG79" s="157"/>
      <c r="AH79" s="159"/>
      <c r="AI79" s="19">
        <v>2022</v>
      </c>
      <c r="AJ79" s="19">
        <v>2022</v>
      </c>
      <c r="AK79" s="130" t="s">
        <v>387</v>
      </c>
    </row>
    <row r="80" spans="1:37" s="124" customFormat="1" ht="18.75" hidden="1" customHeight="1" x14ac:dyDescent="0.45">
      <c r="A80" s="140"/>
      <c r="B80" s="141"/>
      <c r="C80" s="143"/>
      <c r="D80" s="141"/>
      <c r="E80" s="141"/>
      <c r="F80" s="141"/>
      <c r="G80" s="141"/>
      <c r="H80" s="141"/>
      <c r="I80" s="141"/>
      <c r="J80" s="149"/>
      <c r="K80" s="149"/>
      <c r="L80" s="149"/>
      <c r="M80" s="141"/>
      <c r="N80" s="148"/>
      <c r="O80" s="141"/>
      <c r="P80" s="141"/>
      <c r="Q80" s="155"/>
      <c r="R80" s="156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6"/>
      <c r="AI80" s="141"/>
      <c r="AJ80" s="141"/>
    </row>
    <row r="81" spans="1:37" ht="60" hidden="1" customHeight="1" x14ac:dyDescent="0.45">
      <c r="A81" s="139">
        <v>1</v>
      </c>
      <c r="B81" s="19">
        <v>1</v>
      </c>
      <c r="C81" s="145" t="s">
        <v>192</v>
      </c>
      <c r="D81" s="19" t="s">
        <v>381</v>
      </c>
      <c r="E81" s="146" t="s">
        <v>382</v>
      </c>
      <c r="F81" s="19" t="s">
        <v>383</v>
      </c>
      <c r="G81" s="19">
        <v>1981</v>
      </c>
      <c r="H81" s="19">
        <v>9</v>
      </c>
      <c r="I81" s="19">
        <v>2</v>
      </c>
      <c r="J81" s="23">
        <v>4080.5</v>
      </c>
      <c r="K81" s="23"/>
      <c r="L81" s="23"/>
      <c r="M81" s="19">
        <v>202</v>
      </c>
      <c r="N81" s="15" t="s">
        <v>365</v>
      </c>
      <c r="O81" s="19" t="s">
        <v>366</v>
      </c>
      <c r="P81" s="19"/>
      <c r="Q81" s="157"/>
      <c r="R81" s="158">
        <v>2377151.2400000002</v>
      </c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61">
        <v>124000</v>
      </c>
      <c r="AD81" s="157">
        <f t="shared" si="20"/>
        <v>2501151.2400000002</v>
      </c>
      <c r="AE81" s="157">
        <f t="shared" si="21"/>
        <v>2501151.2400000002</v>
      </c>
      <c r="AF81" s="157"/>
      <c r="AG81" s="157"/>
      <c r="AH81" s="159"/>
      <c r="AI81" s="19">
        <v>2022</v>
      </c>
      <c r="AJ81" s="19">
        <v>2022</v>
      </c>
      <c r="AK81" s="130" t="s">
        <v>387</v>
      </c>
    </row>
    <row r="82" spans="1:37" s="124" customFormat="1" ht="18.75" hidden="1" customHeight="1" x14ac:dyDescent="0.45">
      <c r="A82" s="140"/>
      <c r="B82" s="141"/>
      <c r="C82" s="143"/>
      <c r="D82" s="141"/>
      <c r="E82" s="141"/>
      <c r="F82" s="141"/>
      <c r="G82" s="141"/>
      <c r="H82" s="141"/>
      <c r="I82" s="141"/>
      <c r="J82" s="149"/>
      <c r="K82" s="149"/>
      <c r="L82" s="149"/>
      <c r="M82" s="141"/>
      <c r="N82" s="148"/>
      <c r="O82" s="141"/>
      <c r="P82" s="141"/>
      <c r="Q82" s="155"/>
      <c r="R82" s="156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6"/>
      <c r="AI82" s="141"/>
      <c r="AJ82" s="141"/>
    </row>
    <row r="83" spans="1:37" ht="63.75" hidden="1" customHeight="1" x14ac:dyDescent="0.45">
      <c r="A83" s="139">
        <v>1</v>
      </c>
      <c r="B83" s="19">
        <v>1</v>
      </c>
      <c r="C83" s="145" t="s">
        <v>193</v>
      </c>
      <c r="D83" s="19" t="s">
        <v>381</v>
      </c>
      <c r="E83" s="146" t="s">
        <v>382</v>
      </c>
      <c r="F83" s="19" t="s">
        <v>383</v>
      </c>
      <c r="G83" s="19">
        <v>1967</v>
      </c>
      <c r="H83" s="19">
        <v>5</v>
      </c>
      <c r="I83" s="19">
        <v>8</v>
      </c>
      <c r="J83" s="23">
        <v>5757.4</v>
      </c>
      <c r="K83" s="23"/>
      <c r="L83" s="23"/>
      <c r="M83" s="19">
        <v>267</v>
      </c>
      <c r="N83" s="15" t="s">
        <v>365</v>
      </c>
      <c r="O83" s="19" t="s">
        <v>366</v>
      </c>
      <c r="P83" s="19"/>
      <c r="Q83" s="157"/>
      <c r="R83" s="158">
        <v>2377151.2400000002</v>
      </c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61">
        <v>124000</v>
      </c>
      <c r="AD83" s="157">
        <f t="shared" si="20"/>
        <v>2501151.2400000002</v>
      </c>
      <c r="AE83" s="157">
        <f t="shared" si="21"/>
        <v>2501151.2400000002</v>
      </c>
      <c r="AF83" s="157"/>
      <c r="AG83" s="157"/>
      <c r="AH83" s="159"/>
      <c r="AI83" s="19">
        <v>2022</v>
      </c>
      <c r="AJ83" s="19">
        <v>2022</v>
      </c>
      <c r="AK83" s="130" t="s">
        <v>387</v>
      </c>
    </row>
    <row r="84" spans="1:37" s="124" customFormat="1" ht="18.75" hidden="1" customHeight="1" x14ac:dyDescent="0.45">
      <c r="A84" s="140"/>
      <c r="B84" s="141"/>
      <c r="C84" s="143"/>
      <c r="D84" s="141"/>
      <c r="E84" s="141"/>
      <c r="F84" s="141"/>
      <c r="G84" s="141"/>
      <c r="H84" s="141"/>
      <c r="I84" s="141"/>
      <c r="J84" s="149"/>
      <c r="K84" s="149"/>
      <c r="L84" s="149"/>
      <c r="M84" s="141"/>
      <c r="N84" s="148"/>
      <c r="O84" s="141"/>
      <c r="P84" s="141"/>
      <c r="Q84" s="155"/>
      <c r="R84" s="156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6"/>
      <c r="AI84" s="141"/>
      <c r="AJ84" s="141"/>
    </row>
    <row r="85" spans="1:37" ht="84.9" hidden="1" customHeight="1" x14ac:dyDescent="0.45">
      <c r="A85" s="139">
        <v>1</v>
      </c>
      <c r="B85" s="19">
        <v>1</v>
      </c>
      <c r="C85" s="145" t="s">
        <v>194</v>
      </c>
      <c r="D85" s="19" t="s">
        <v>400</v>
      </c>
      <c r="E85" s="146" t="s">
        <v>382</v>
      </c>
      <c r="F85" s="19" t="s">
        <v>401</v>
      </c>
      <c r="G85" s="19">
        <v>1968</v>
      </c>
      <c r="H85" s="19">
        <v>5</v>
      </c>
      <c r="I85" s="19">
        <v>6</v>
      </c>
      <c r="J85" s="23">
        <v>4818.3999999999996</v>
      </c>
      <c r="K85" s="23">
        <v>4817.5</v>
      </c>
      <c r="L85" s="23">
        <v>4817.5</v>
      </c>
      <c r="M85" s="19">
        <v>234</v>
      </c>
      <c r="N85" s="15" t="s">
        <v>365</v>
      </c>
      <c r="O85" s="19" t="s">
        <v>366</v>
      </c>
      <c r="P85" s="19"/>
      <c r="Q85" s="28"/>
      <c r="R85" s="158">
        <v>2377151.2400000002</v>
      </c>
      <c r="S85" s="28"/>
      <c r="T85" s="28"/>
      <c r="U85" s="28"/>
      <c r="V85" s="28"/>
      <c r="W85" s="28"/>
      <c r="X85" s="28"/>
      <c r="Y85" s="28">
        <v>17203759.719999999</v>
      </c>
      <c r="Z85" s="28"/>
      <c r="AA85" s="28"/>
      <c r="AB85" s="28"/>
      <c r="AC85" s="28">
        <f>760248.6+124000</f>
        <v>884248.6</v>
      </c>
      <c r="AD85" s="28">
        <f>SUM(Q85:AC85)</f>
        <v>20465159.560000002</v>
      </c>
      <c r="AE85" s="28">
        <f>R85+124000</f>
        <v>2501151.2400000002</v>
      </c>
      <c r="AF85" s="28"/>
      <c r="AG85" s="28">
        <f>AD85-AE85</f>
        <v>17964008.32</v>
      </c>
      <c r="AH85" s="37"/>
      <c r="AI85" s="19">
        <v>2022</v>
      </c>
      <c r="AJ85" s="19">
        <v>2022</v>
      </c>
      <c r="AK85" s="130" t="s">
        <v>402</v>
      </c>
    </row>
    <row r="86" spans="1:37" s="124" customFormat="1" ht="15" hidden="1" customHeight="1" x14ac:dyDescent="0.45">
      <c r="A86" s="140"/>
      <c r="B86" s="141"/>
      <c r="C86" s="143"/>
      <c r="D86" s="141"/>
      <c r="E86" s="141"/>
      <c r="F86" s="141"/>
      <c r="G86" s="141"/>
      <c r="H86" s="141"/>
      <c r="I86" s="141"/>
      <c r="J86" s="149"/>
      <c r="K86" s="149"/>
      <c r="L86" s="149"/>
      <c r="M86" s="141"/>
      <c r="N86" s="148"/>
      <c r="O86" s="141"/>
      <c r="P86" s="141"/>
      <c r="Q86" s="155"/>
      <c r="R86" s="156"/>
      <c r="S86" s="155"/>
      <c r="T86" s="155"/>
      <c r="U86" s="155"/>
      <c r="V86" s="155"/>
      <c r="W86" s="155"/>
      <c r="X86" s="155"/>
      <c r="Y86" s="155">
        <v>17203759.719999999</v>
      </c>
      <c r="Z86" s="155"/>
      <c r="AA86" s="155"/>
      <c r="AB86" s="155"/>
      <c r="AC86" s="155">
        <v>760248.6</v>
      </c>
      <c r="AD86" s="155">
        <f>SUM(Q86:AC86)</f>
        <v>17964008.32</v>
      </c>
      <c r="AE86" s="155"/>
      <c r="AF86" s="155"/>
      <c r="AG86" s="155">
        <f>SUM(Y86+AC86)</f>
        <v>17964008.32</v>
      </c>
      <c r="AH86" s="156"/>
      <c r="AI86" s="141"/>
      <c r="AJ86" s="141"/>
    </row>
    <row r="87" spans="1:37" ht="62.25" hidden="1" customHeight="1" x14ac:dyDescent="0.45">
      <c r="A87" s="139">
        <v>1</v>
      </c>
      <c r="B87" s="19">
        <v>1</v>
      </c>
      <c r="C87" s="145" t="s">
        <v>195</v>
      </c>
      <c r="D87" s="19" t="s">
        <v>381</v>
      </c>
      <c r="E87" s="146" t="s">
        <v>382</v>
      </c>
      <c r="F87" s="19" t="s">
        <v>383</v>
      </c>
      <c r="G87" s="19">
        <v>1968</v>
      </c>
      <c r="H87" s="19">
        <v>5</v>
      </c>
      <c r="I87" s="19">
        <v>8</v>
      </c>
      <c r="J87" s="23">
        <v>5773</v>
      </c>
      <c r="K87" s="23"/>
      <c r="L87" s="23"/>
      <c r="M87" s="19" t="s">
        <v>403</v>
      </c>
      <c r="N87" s="15" t="s">
        <v>365</v>
      </c>
      <c r="O87" s="19" t="s">
        <v>366</v>
      </c>
      <c r="P87" s="19"/>
      <c r="Q87" s="157"/>
      <c r="R87" s="158">
        <v>2377151.2400000002</v>
      </c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61">
        <v>124000</v>
      </c>
      <c r="AD87" s="157">
        <f t="shared" ref="AD87:AD91" si="22">R87+AC87</f>
        <v>2501151.2400000002</v>
      </c>
      <c r="AE87" s="157">
        <f t="shared" ref="AE87:AE91" si="23">AD87</f>
        <v>2501151.2400000002</v>
      </c>
      <c r="AF87" s="157"/>
      <c r="AG87" s="157"/>
      <c r="AH87" s="159"/>
      <c r="AI87" s="19">
        <v>2022</v>
      </c>
      <c r="AJ87" s="19">
        <v>2022</v>
      </c>
      <c r="AK87" s="130" t="s">
        <v>387</v>
      </c>
    </row>
    <row r="88" spans="1:37" s="124" customFormat="1" ht="15" hidden="1" customHeight="1" x14ac:dyDescent="0.45">
      <c r="A88" s="140"/>
      <c r="B88" s="141"/>
      <c r="C88" s="143"/>
      <c r="D88" s="141"/>
      <c r="E88" s="141"/>
      <c r="F88" s="141"/>
      <c r="G88" s="141"/>
      <c r="H88" s="141"/>
      <c r="I88" s="141"/>
      <c r="J88" s="149"/>
      <c r="K88" s="149"/>
      <c r="L88" s="149"/>
      <c r="M88" s="141"/>
      <c r="N88" s="148"/>
      <c r="O88" s="141"/>
      <c r="P88" s="141"/>
      <c r="Q88" s="155"/>
      <c r="R88" s="156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6"/>
      <c r="AI88" s="141"/>
      <c r="AJ88" s="141"/>
    </row>
    <row r="89" spans="1:37" ht="62.25" hidden="1" customHeight="1" x14ac:dyDescent="0.45">
      <c r="A89" s="139">
        <v>1</v>
      </c>
      <c r="B89" s="19">
        <v>1</v>
      </c>
      <c r="C89" s="145" t="s">
        <v>196</v>
      </c>
      <c r="D89" s="19" t="s">
        <v>381</v>
      </c>
      <c r="E89" s="146" t="s">
        <v>382</v>
      </c>
      <c r="F89" s="19" t="s">
        <v>383</v>
      </c>
      <c r="G89" s="19" t="s">
        <v>404</v>
      </c>
      <c r="H89" s="19">
        <v>5</v>
      </c>
      <c r="I89" s="19">
        <v>8</v>
      </c>
      <c r="J89" s="23">
        <v>5924.7</v>
      </c>
      <c r="K89" s="23"/>
      <c r="L89" s="23"/>
      <c r="M89" s="19">
        <v>299</v>
      </c>
      <c r="N89" s="15" t="s">
        <v>365</v>
      </c>
      <c r="O89" s="19" t="s">
        <v>366</v>
      </c>
      <c r="P89" s="19"/>
      <c r="Q89" s="157"/>
      <c r="R89" s="158">
        <v>2377151.2400000002</v>
      </c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61">
        <v>124000</v>
      </c>
      <c r="AD89" s="157">
        <f t="shared" si="22"/>
        <v>2501151.2400000002</v>
      </c>
      <c r="AE89" s="157">
        <f t="shared" si="23"/>
        <v>2501151.2400000002</v>
      </c>
      <c r="AF89" s="157"/>
      <c r="AG89" s="157"/>
      <c r="AH89" s="159"/>
      <c r="AI89" s="19">
        <v>2022</v>
      </c>
      <c r="AJ89" s="19">
        <v>2022</v>
      </c>
      <c r="AK89" s="130" t="s">
        <v>387</v>
      </c>
    </row>
    <row r="90" spans="1:37" s="124" customFormat="1" ht="15" hidden="1" customHeight="1" x14ac:dyDescent="0.45">
      <c r="A90" s="140"/>
      <c r="B90" s="141"/>
      <c r="C90" s="143"/>
      <c r="D90" s="141"/>
      <c r="E90" s="141"/>
      <c r="F90" s="141"/>
      <c r="G90" s="141"/>
      <c r="H90" s="141"/>
      <c r="I90" s="141"/>
      <c r="J90" s="149"/>
      <c r="K90" s="149"/>
      <c r="L90" s="149"/>
      <c r="M90" s="141"/>
      <c r="N90" s="148"/>
      <c r="O90" s="141"/>
      <c r="P90" s="141"/>
      <c r="Q90" s="155"/>
      <c r="R90" s="156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6"/>
      <c r="AI90" s="141"/>
      <c r="AJ90" s="141"/>
    </row>
    <row r="91" spans="1:37" ht="62.25" hidden="1" customHeight="1" x14ac:dyDescent="0.45">
      <c r="A91" s="139">
        <v>1</v>
      </c>
      <c r="B91" s="19">
        <v>1</v>
      </c>
      <c r="C91" s="145" t="s">
        <v>197</v>
      </c>
      <c r="D91" s="19" t="s">
        <v>381</v>
      </c>
      <c r="E91" s="146" t="s">
        <v>382</v>
      </c>
      <c r="F91" s="19" t="s">
        <v>383</v>
      </c>
      <c r="G91" s="19" t="s">
        <v>405</v>
      </c>
      <c r="H91" s="19">
        <v>5</v>
      </c>
      <c r="I91" s="19">
        <v>1</v>
      </c>
      <c r="J91" s="23">
        <v>3911.5</v>
      </c>
      <c r="K91" s="23"/>
      <c r="L91" s="23"/>
      <c r="M91" s="19" t="s">
        <v>406</v>
      </c>
      <c r="N91" s="15" t="s">
        <v>365</v>
      </c>
      <c r="O91" s="19" t="s">
        <v>366</v>
      </c>
      <c r="P91" s="19"/>
      <c r="Q91" s="157"/>
      <c r="R91" s="158">
        <v>2377151.2400000002</v>
      </c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61">
        <v>124000</v>
      </c>
      <c r="AD91" s="157">
        <f t="shared" si="22"/>
        <v>2501151.2400000002</v>
      </c>
      <c r="AE91" s="157">
        <f t="shared" si="23"/>
        <v>2501151.2400000002</v>
      </c>
      <c r="AF91" s="157"/>
      <c r="AG91" s="157"/>
      <c r="AH91" s="159"/>
      <c r="AI91" s="19">
        <v>2022</v>
      </c>
      <c r="AJ91" s="19">
        <v>2022</v>
      </c>
      <c r="AK91" s="130" t="s">
        <v>387</v>
      </c>
    </row>
    <row r="92" spans="1:37" s="124" customFormat="1" ht="15" hidden="1" customHeight="1" x14ac:dyDescent="0.45">
      <c r="A92" s="140"/>
      <c r="B92" s="141"/>
      <c r="C92" s="143"/>
      <c r="D92" s="141"/>
      <c r="E92" s="141"/>
      <c r="F92" s="141"/>
      <c r="G92" s="141"/>
      <c r="H92" s="141"/>
      <c r="I92" s="141"/>
      <c r="J92" s="149"/>
      <c r="K92" s="149"/>
      <c r="L92" s="149"/>
      <c r="M92" s="141"/>
      <c r="N92" s="148"/>
      <c r="O92" s="141"/>
      <c r="P92" s="141"/>
      <c r="Q92" s="155"/>
      <c r="R92" s="156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6"/>
      <c r="AI92" s="141"/>
      <c r="AJ92" s="141"/>
    </row>
    <row r="93" spans="1:37" ht="62.25" hidden="1" customHeight="1" x14ac:dyDescent="0.45">
      <c r="A93" s="139">
        <v>1</v>
      </c>
      <c r="B93" s="19">
        <v>1</v>
      </c>
      <c r="C93" s="145" t="s">
        <v>198</v>
      </c>
      <c r="D93" s="19" t="s">
        <v>381</v>
      </c>
      <c r="E93" s="146" t="s">
        <v>382</v>
      </c>
      <c r="F93" s="19" t="s">
        <v>383</v>
      </c>
      <c r="G93" s="19">
        <v>1987</v>
      </c>
      <c r="H93" s="19">
        <v>5</v>
      </c>
      <c r="I93" s="19">
        <v>4</v>
      </c>
      <c r="J93" s="23">
        <v>2825.7</v>
      </c>
      <c r="K93" s="23"/>
      <c r="L93" s="23"/>
      <c r="M93" s="19" t="s">
        <v>407</v>
      </c>
      <c r="N93" s="15" t="s">
        <v>365</v>
      </c>
      <c r="O93" s="19" t="s">
        <v>366</v>
      </c>
      <c r="P93" s="19"/>
      <c r="Q93" s="157"/>
      <c r="R93" s="158">
        <v>2377151.2400000002</v>
      </c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61">
        <v>124000</v>
      </c>
      <c r="AD93" s="157">
        <f t="shared" ref="AD93:AD97" si="24">R93+AC93</f>
        <v>2501151.2400000002</v>
      </c>
      <c r="AE93" s="157">
        <f t="shared" ref="AE93:AE97" si="25">AD93</f>
        <v>2501151.2400000002</v>
      </c>
      <c r="AF93" s="157"/>
      <c r="AG93" s="157"/>
      <c r="AH93" s="159"/>
      <c r="AI93" s="19">
        <v>2022</v>
      </c>
      <c r="AJ93" s="19">
        <v>2022</v>
      </c>
      <c r="AK93" s="130" t="s">
        <v>387</v>
      </c>
    </row>
    <row r="94" spans="1:37" s="124" customFormat="1" ht="15" hidden="1" customHeight="1" x14ac:dyDescent="0.45">
      <c r="A94" s="140"/>
      <c r="B94" s="141"/>
      <c r="C94" s="143"/>
      <c r="D94" s="141"/>
      <c r="E94" s="141"/>
      <c r="F94" s="141"/>
      <c r="G94" s="141"/>
      <c r="H94" s="141"/>
      <c r="I94" s="141"/>
      <c r="J94" s="149"/>
      <c r="K94" s="149"/>
      <c r="L94" s="149"/>
      <c r="M94" s="141"/>
      <c r="N94" s="148"/>
      <c r="O94" s="141"/>
      <c r="P94" s="141"/>
      <c r="Q94" s="155"/>
      <c r="R94" s="156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6"/>
      <c r="AI94" s="141"/>
      <c r="AJ94" s="141"/>
    </row>
    <row r="95" spans="1:37" ht="62.25" hidden="1" customHeight="1" x14ac:dyDescent="0.45">
      <c r="A95" s="139">
        <v>1</v>
      </c>
      <c r="B95" s="19">
        <v>1</v>
      </c>
      <c r="C95" s="145" t="s">
        <v>199</v>
      </c>
      <c r="D95" s="19" t="s">
        <v>381</v>
      </c>
      <c r="E95" s="146" t="s">
        <v>382</v>
      </c>
      <c r="F95" s="19" t="s">
        <v>383</v>
      </c>
      <c r="G95" s="19" t="s">
        <v>408</v>
      </c>
      <c r="H95" s="19">
        <v>5</v>
      </c>
      <c r="I95" s="19">
        <v>4</v>
      </c>
      <c r="J95" s="23">
        <v>2747.5</v>
      </c>
      <c r="K95" s="23"/>
      <c r="L95" s="23"/>
      <c r="M95" s="19">
        <v>142</v>
      </c>
      <c r="N95" s="15" t="s">
        <v>365</v>
      </c>
      <c r="O95" s="19" t="s">
        <v>366</v>
      </c>
      <c r="P95" s="19"/>
      <c r="Q95" s="157"/>
      <c r="R95" s="158">
        <v>2377151.2400000002</v>
      </c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61">
        <v>124000</v>
      </c>
      <c r="AD95" s="157">
        <f t="shared" si="24"/>
        <v>2501151.2400000002</v>
      </c>
      <c r="AE95" s="157">
        <f t="shared" si="25"/>
        <v>2501151.2400000002</v>
      </c>
      <c r="AF95" s="157"/>
      <c r="AG95" s="157"/>
      <c r="AH95" s="159"/>
      <c r="AI95" s="19">
        <v>2022</v>
      </c>
      <c r="AJ95" s="19">
        <v>2022</v>
      </c>
      <c r="AK95" s="130" t="s">
        <v>387</v>
      </c>
    </row>
    <row r="96" spans="1:37" s="124" customFormat="1" ht="15" hidden="1" customHeight="1" x14ac:dyDescent="0.45">
      <c r="A96" s="140"/>
      <c r="B96" s="141"/>
      <c r="C96" s="143"/>
      <c r="D96" s="141"/>
      <c r="E96" s="141"/>
      <c r="F96" s="141"/>
      <c r="G96" s="141"/>
      <c r="H96" s="141"/>
      <c r="I96" s="141"/>
      <c r="J96" s="149"/>
      <c r="K96" s="149"/>
      <c r="L96" s="149"/>
      <c r="M96" s="141"/>
      <c r="N96" s="148"/>
      <c r="O96" s="141"/>
      <c r="P96" s="141"/>
      <c r="Q96" s="155"/>
      <c r="R96" s="156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6"/>
      <c r="AI96" s="141"/>
      <c r="AJ96" s="141"/>
    </row>
    <row r="97" spans="1:37" ht="62.25" hidden="1" customHeight="1" x14ac:dyDescent="0.45">
      <c r="A97" s="139">
        <v>1</v>
      </c>
      <c r="B97" s="19">
        <v>1</v>
      </c>
      <c r="C97" s="145" t="s">
        <v>200</v>
      </c>
      <c r="D97" s="19" t="s">
        <v>381</v>
      </c>
      <c r="E97" s="146" t="s">
        <v>382</v>
      </c>
      <c r="F97" s="19" t="s">
        <v>383</v>
      </c>
      <c r="G97" s="19">
        <v>1969</v>
      </c>
      <c r="H97" s="19">
        <v>5</v>
      </c>
      <c r="I97" s="19">
        <v>5</v>
      </c>
      <c r="J97" s="23">
        <v>3900.9</v>
      </c>
      <c r="K97" s="23"/>
      <c r="L97" s="23"/>
      <c r="M97" s="19">
        <v>177</v>
      </c>
      <c r="N97" s="15" t="s">
        <v>365</v>
      </c>
      <c r="O97" s="19" t="s">
        <v>366</v>
      </c>
      <c r="P97" s="19"/>
      <c r="Q97" s="157"/>
      <c r="R97" s="158">
        <v>2377151.2400000002</v>
      </c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61">
        <v>124000</v>
      </c>
      <c r="AD97" s="157">
        <f t="shared" si="24"/>
        <v>2501151.2400000002</v>
      </c>
      <c r="AE97" s="157">
        <f t="shared" si="25"/>
        <v>2501151.2400000002</v>
      </c>
      <c r="AF97" s="157"/>
      <c r="AG97" s="157"/>
      <c r="AH97" s="159"/>
      <c r="AI97" s="19">
        <v>2022</v>
      </c>
      <c r="AJ97" s="19">
        <v>2022</v>
      </c>
      <c r="AK97" s="130" t="s">
        <v>387</v>
      </c>
    </row>
    <row r="98" spans="1:37" s="124" customFormat="1" ht="15" hidden="1" customHeight="1" x14ac:dyDescent="0.45">
      <c r="A98" s="140"/>
      <c r="B98" s="141"/>
      <c r="C98" s="143"/>
      <c r="D98" s="141"/>
      <c r="E98" s="141"/>
      <c r="F98" s="141"/>
      <c r="G98" s="141"/>
      <c r="H98" s="141"/>
      <c r="I98" s="141"/>
      <c r="J98" s="149"/>
      <c r="K98" s="149"/>
      <c r="L98" s="149"/>
      <c r="M98" s="141"/>
      <c r="N98" s="148"/>
      <c r="O98" s="141"/>
      <c r="P98" s="141"/>
      <c r="Q98" s="155"/>
      <c r="R98" s="156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6"/>
      <c r="AI98" s="141"/>
      <c r="AJ98" s="141"/>
    </row>
    <row r="99" spans="1:37" ht="48.75" hidden="1" customHeight="1" x14ac:dyDescent="0.45">
      <c r="A99" s="139">
        <v>1</v>
      </c>
      <c r="B99" s="19">
        <v>1</v>
      </c>
      <c r="C99" s="145" t="s">
        <v>201</v>
      </c>
      <c r="D99" s="19" t="s">
        <v>381</v>
      </c>
      <c r="E99" s="146" t="s">
        <v>382</v>
      </c>
      <c r="F99" s="19" t="s">
        <v>383</v>
      </c>
      <c r="G99" s="19">
        <v>1969</v>
      </c>
      <c r="H99" s="19">
        <v>5</v>
      </c>
      <c r="I99" s="19">
        <v>6</v>
      </c>
      <c r="J99" s="23">
        <v>4463.3999999999996</v>
      </c>
      <c r="K99" s="23"/>
      <c r="L99" s="23"/>
      <c r="M99" s="19">
        <v>253</v>
      </c>
      <c r="N99" s="15" t="s">
        <v>365</v>
      </c>
      <c r="O99" s="19" t="s">
        <v>366</v>
      </c>
      <c r="P99" s="19"/>
      <c r="Q99" s="157"/>
      <c r="R99" s="158">
        <v>2377151.2400000002</v>
      </c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61">
        <v>124000</v>
      </c>
      <c r="AD99" s="157">
        <f t="shared" ref="AD99:AD103" si="26">R99+AC99</f>
        <v>2501151.2400000002</v>
      </c>
      <c r="AE99" s="157">
        <f t="shared" ref="AE99:AE103" si="27">AD99</f>
        <v>2501151.2400000002</v>
      </c>
      <c r="AF99" s="157"/>
      <c r="AG99" s="157"/>
      <c r="AH99" s="159"/>
      <c r="AI99" s="19">
        <v>2022</v>
      </c>
      <c r="AJ99" s="19">
        <v>2022</v>
      </c>
      <c r="AK99" s="130" t="s">
        <v>387</v>
      </c>
    </row>
    <row r="100" spans="1:37" s="124" customFormat="1" ht="15" hidden="1" customHeight="1" x14ac:dyDescent="0.45">
      <c r="A100" s="140"/>
      <c r="B100" s="141"/>
      <c r="C100" s="143"/>
      <c r="D100" s="141"/>
      <c r="E100" s="141"/>
      <c r="F100" s="141"/>
      <c r="G100" s="141"/>
      <c r="H100" s="141"/>
      <c r="I100" s="141"/>
      <c r="J100" s="149"/>
      <c r="K100" s="149"/>
      <c r="L100" s="149"/>
      <c r="M100" s="141"/>
      <c r="N100" s="148"/>
      <c r="O100" s="141"/>
      <c r="P100" s="141"/>
      <c r="Q100" s="155"/>
      <c r="R100" s="156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6"/>
      <c r="AI100" s="141"/>
      <c r="AJ100" s="141"/>
    </row>
    <row r="101" spans="1:37" ht="48.75" hidden="1" customHeight="1" x14ac:dyDescent="0.45">
      <c r="A101" s="139">
        <v>1</v>
      </c>
      <c r="B101" s="19">
        <v>1</v>
      </c>
      <c r="C101" s="145" t="s">
        <v>202</v>
      </c>
      <c r="D101" s="19" t="s">
        <v>381</v>
      </c>
      <c r="E101" s="146" t="s">
        <v>382</v>
      </c>
      <c r="F101" s="19" t="s">
        <v>383</v>
      </c>
      <c r="G101" s="19">
        <v>1969</v>
      </c>
      <c r="H101" s="19">
        <v>5</v>
      </c>
      <c r="I101" s="19">
        <v>4</v>
      </c>
      <c r="J101" s="23">
        <v>2762.9</v>
      </c>
      <c r="K101" s="23"/>
      <c r="L101" s="23"/>
      <c r="M101" s="19">
        <v>145</v>
      </c>
      <c r="N101" s="15" t="s">
        <v>365</v>
      </c>
      <c r="O101" s="19" t="s">
        <v>366</v>
      </c>
      <c r="P101" s="19"/>
      <c r="Q101" s="157"/>
      <c r="R101" s="158">
        <v>2377151.2400000002</v>
      </c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61">
        <v>124000</v>
      </c>
      <c r="AD101" s="157">
        <f t="shared" si="26"/>
        <v>2501151.2400000002</v>
      </c>
      <c r="AE101" s="157">
        <f t="shared" si="27"/>
        <v>2501151.2400000002</v>
      </c>
      <c r="AF101" s="157"/>
      <c r="AG101" s="157"/>
      <c r="AH101" s="159"/>
      <c r="AI101" s="19">
        <v>2022</v>
      </c>
      <c r="AJ101" s="19">
        <v>2022</v>
      </c>
      <c r="AK101" s="130" t="s">
        <v>387</v>
      </c>
    </row>
    <row r="102" spans="1:37" s="124" customFormat="1" ht="15" hidden="1" customHeight="1" x14ac:dyDescent="0.45">
      <c r="A102" s="140"/>
      <c r="B102" s="141"/>
      <c r="C102" s="143"/>
      <c r="D102" s="141"/>
      <c r="E102" s="141"/>
      <c r="F102" s="141"/>
      <c r="G102" s="141"/>
      <c r="H102" s="141"/>
      <c r="I102" s="141"/>
      <c r="J102" s="149"/>
      <c r="K102" s="149"/>
      <c r="L102" s="149"/>
      <c r="M102" s="141"/>
      <c r="N102" s="148"/>
      <c r="O102" s="141"/>
      <c r="P102" s="141"/>
      <c r="Q102" s="155"/>
      <c r="R102" s="156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6"/>
      <c r="AI102" s="141"/>
      <c r="AJ102" s="141"/>
    </row>
    <row r="103" spans="1:37" ht="48.75" hidden="1" customHeight="1" x14ac:dyDescent="0.45">
      <c r="A103" s="139">
        <v>1</v>
      </c>
      <c r="B103" s="19">
        <v>1</v>
      </c>
      <c r="C103" s="145" t="s">
        <v>203</v>
      </c>
      <c r="D103" s="19" t="s">
        <v>381</v>
      </c>
      <c r="E103" s="146" t="s">
        <v>382</v>
      </c>
      <c r="F103" s="19" t="s">
        <v>383</v>
      </c>
      <c r="G103" s="19">
        <v>1969</v>
      </c>
      <c r="H103" s="19">
        <v>5</v>
      </c>
      <c r="I103" s="19">
        <v>4</v>
      </c>
      <c r="J103" s="23">
        <v>2928</v>
      </c>
      <c r="K103" s="23"/>
      <c r="L103" s="23"/>
      <c r="M103" s="19">
        <v>151</v>
      </c>
      <c r="N103" s="15" t="s">
        <v>365</v>
      </c>
      <c r="O103" s="19" t="s">
        <v>366</v>
      </c>
      <c r="P103" s="19"/>
      <c r="Q103" s="157"/>
      <c r="R103" s="158">
        <v>2377151.2400000002</v>
      </c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61">
        <v>124000</v>
      </c>
      <c r="AD103" s="157">
        <f t="shared" si="26"/>
        <v>2501151.2400000002</v>
      </c>
      <c r="AE103" s="157">
        <f t="shared" si="27"/>
        <v>2501151.2400000002</v>
      </c>
      <c r="AF103" s="157"/>
      <c r="AG103" s="157"/>
      <c r="AH103" s="159"/>
      <c r="AI103" s="19">
        <v>2022</v>
      </c>
      <c r="AJ103" s="19">
        <v>2022</v>
      </c>
      <c r="AK103" s="130" t="s">
        <v>387</v>
      </c>
    </row>
    <row r="104" spans="1:37" s="124" customFormat="1" ht="15" hidden="1" customHeight="1" x14ac:dyDescent="0.45">
      <c r="A104" s="140"/>
      <c r="B104" s="141"/>
      <c r="C104" s="143"/>
      <c r="D104" s="141"/>
      <c r="E104" s="141"/>
      <c r="F104" s="141"/>
      <c r="G104" s="141"/>
      <c r="H104" s="141"/>
      <c r="I104" s="141"/>
      <c r="J104" s="149"/>
      <c r="K104" s="149"/>
      <c r="L104" s="149"/>
      <c r="M104" s="141"/>
      <c r="N104" s="148"/>
      <c r="O104" s="141"/>
      <c r="P104" s="141"/>
      <c r="Q104" s="155"/>
      <c r="R104" s="156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6"/>
      <c r="AI104" s="141"/>
      <c r="AJ104" s="141"/>
    </row>
    <row r="105" spans="1:37" ht="48.75" hidden="1" customHeight="1" x14ac:dyDescent="0.45">
      <c r="A105" s="139">
        <v>1</v>
      </c>
      <c r="B105" s="19">
        <v>1</v>
      </c>
      <c r="C105" s="145" t="s">
        <v>204</v>
      </c>
      <c r="D105" s="19" t="s">
        <v>381</v>
      </c>
      <c r="E105" s="146" t="s">
        <v>382</v>
      </c>
      <c r="F105" s="19" t="s">
        <v>383</v>
      </c>
      <c r="G105" s="19" t="s">
        <v>409</v>
      </c>
      <c r="H105" s="19">
        <v>5</v>
      </c>
      <c r="I105" s="19">
        <v>4</v>
      </c>
      <c r="J105" s="23">
        <v>2681.2</v>
      </c>
      <c r="K105" s="23"/>
      <c r="L105" s="23"/>
      <c r="M105" s="19">
        <v>123</v>
      </c>
      <c r="N105" s="15" t="s">
        <v>365</v>
      </c>
      <c r="O105" s="19" t="s">
        <v>366</v>
      </c>
      <c r="P105" s="19"/>
      <c r="Q105" s="157"/>
      <c r="R105" s="158">
        <v>2377151.2400000002</v>
      </c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61">
        <v>124000</v>
      </c>
      <c r="AD105" s="157">
        <f>R105+AC105</f>
        <v>2501151.2400000002</v>
      </c>
      <c r="AE105" s="157">
        <f>AD105</f>
        <v>2501151.2400000002</v>
      </c>
      <c r="AF105" s="157"/>
      <c r="AG105" s="157"/>
      <c r="AH105" s="159"/>
      <c r="AI105" s="19">
        <v>2022</v>
      </c>
      <c r="AJ105" s="19">
        <v>2022</v>
      </c>
      <c r="AK105" s="130" t="s">
        <v>387</v>
      </c>
    </row>
    <row r="106" spans="1:37" s="124" customFormat="1" ht="15" hidden="1" customHeight="1" x14ac:dyDescent="0.45">
      <c r="A106" s="140"/>
      <c r="B106" s="141"/>
      <c r="C106" s="143"/>
      <c r="D106" s="141"/>
      <c r="E106" s="141"/>
      <c r="F106" s="141"/>
      <c r="G106" s="141"/>
      <c r="H106" s="141"/>
      <c r="I106" s="141"/>
      <c r="J106" s="149"/>
      <c r="K106" s="149"/>
      <c r="L106" s="149"/>
      <c r="M106" s="141"/>
      <c r="N106" s="148"/>
      <c r="O106" s="141"/>
      <c r="P106" s="141"/>
      <c r="Q106" s="155"/>
      <c r="R106" s="156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6"/>
      <c r="AI106" s="141"/>
      <c r="AJ106" s="141"/>
    </row>
    <row r="107" spans="1:37" ht="69.75" hidden="1" customHeight="1" x14ac:dyDescent="0.45">
      <c r="A107" s="139">
        <v>1</v>
      </c>
      <c r="B107" s="19">
        <v>1</v>
      </c>
      <c r="C107" s="147" t="s">
        <v>205</v>
      </c>
      <c r="D107" s="19" t="s">
        <v>381</v>
      </c>
      <c r="E107" s="146" t="s">
        <v>382</v>
      </c>
      <c r="F107" s="19" t="s">
        <v>383</v>
      </c>
      <c r="G107" s="19">
        <v>1993</v>
      </c>
      <c r="H107" s="19">
        <v>9</v>
      </c>
      <c r="I107" s="19">
        <v>3</v>
      </c>
      <c r="J107" s="23">
        <v>8696.1</v>
      </c>
      <c r="K107" s="23">
        <v>8696.1</v>
      </c>
      <c r="L107" s="23">
        <v>8696.1</v>
      </c>
      <c r="M107" s="19">
        <v>267</v>
      </c>
      <c r="N107" s="15" t="s">
        <v>365</v>
      </c>
      <c r="O107" s="19" t="s">
        <v>366</v>
      </c>
      <c r="P107" s="19"/>
      <c r="Q107" s="157"/>
      <c r="R107" s="159"/>
      <c r="S107" s="157"/>
      <c r="T107" s="157"/>
      <c r="U107" s="157"/>
      <c r="V107" s="157"/>
      <c r="W107" s="157"/>
      <c r="X107" s="160">
        <v>5554247.3499999996</v>
      </c>
      <c r="Y107" s="157"/>
      <c r="Z107" s="28"/>
      <c r="AA107" s="28"/>
      <c r="AB107" s="157"/>
      <c r="AC107" s="160">
        <v>227835.12</v>
      </c>
      <c r="AD107" s="28">
        <f>X107+AC107</f>
        <v>5782082.4699999997</v>
      </c>
      <c r="AE107" s="157"/>
      <c r="AF107" s="157"/>
      <c r="AG107" s="157">
        <f>AD107</f>
        <v>5782082.4699999997</v>
      </c>
      <c r="AH107" s="159"/>
      <c r="AI107" s="19">
        <v>2022</v>
      </c>
      <c r="AJ107" s="19">
        <v>2022</v>
      </c>
      <c r="AK107" s="130" t="s">
        <v>393</v>
      </c>
    </row>
    <row r="108" spans="1:37" s="124" customFormat="1" ht="15" hidden="1" customHeight="1" x14ac:dyDescent="0.45">
      <c r="A108" s="140"/>
      <c r="B108" s="141"/>
      <c r="C108" s="143"/>
      <c r="D108" s="141"/>
      <c r="E108" s="141"/>
      <c r="F108" s="141"/>
      <c r="G108" s="141"/>
      <c r="H108" s="141"/>
      <c r="I108" s="141"/>
      <c r="J108" s="149"/>
      <c r="K108" s="149"/>
      <c r="L108" s="149"/>
      <c r="M108" s="141"/>
      <c r="N108" s="148"/>
      <c r="O108" s="141"/>
      <c r="P108" s="141"/>
      <c r="Q108" s="155"/>
      <c r="R108" s="156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6"/>
      <c r="AI108" s="141"/>
      <c r="AJ108" s="141"/>
    </row>
    <row r="109" spans="1:37" ht="58.5" hidden="1" customHeight="1" x14ac:dyDescent="0.45">
      <c r="A109" s="139">
        <v>1</v>
      </c>
      <c r="B109" s="19">
        <v>1</v>
      </c>
      <c r="C109" s="145" t="s">
        <v>206</v>
      </c>
      <c r="D109" s="19" t="s">
        <v>381</v>
      </c>
      <c r="E109" s="146" t="s">
        <v>382</v>
      </c>
      <c r="F109" s="19" t="s">
        <v>383</v>
      </c>
      <c r="G109" s="19" t="s">
        <v>410</v>
      </c>
      <c r="H109" s="19">
        <v>9</v>
      </c>
      <c r="I109" s="19">
        <v>1</v>
      </c>
      <c r="J109" s="23">
        <v>3837.3</v>
      </c>
      <c r="K109" s="23"/>
      <c r="L109" s="23"/>
      <c r="M109" s="19">
        <v>218</v>
      </c>
      <c r="N109" s="15" t="s">
        <v>365</v>
      </c>
      <c r="O109" s="19" t="s">
        <v>366</v>
      </c>
      <c r="P109" s="19"/>
      <c r="Q109" s="157"/>
      <c r="R109" s="158">
        <v>2377151.2400000002</v>
      </c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61">
        <v>124000</v>
      </c>
      <c r="AD109" s="157">
        <f t="shared" ref="AD109:AD113" si="28">R109+AC109</f>
        <v>2501151.2400000002</v>
      </c>
      <c r="AE109" s="157">
        <f t="shared" ref="AE109:AE113" si="29">AD109</f>
        <v>2501151.2400000002</v>
      </c>
      <c r="AF109" s="157"/>
      <c r="AG109" s="157"/>
      <c r="AH109" s="159"/>
      <c r="AI109" s="19">
        <v>2022</v>
      </c>
      <c r="AJ109" s="19">
        <v>2022</v>
      </c>
      <c r="AK109" s="130" t="s">
        <v>387</v>
      </c>
    </row>
    <row r="110" spans="1:37" s="124" customFormat="1" ht="15" hidden="1" customHeight="1" x14ac:dyDescent="0.45">
      <c r="A110" s="140"/>
      <c r="B110" s="141"/>
      <c r="C110" s="143"/>
      <c r="D110" s="141"/>
      <c r="E110" s="141"/>
      <c r="F110" s="141"/>
      <c r="G110" s="141"/>
      <c r="H110" s="141"/>
      <c r="I110" s="141"/>
      <c r="J110" s="149"/>
      <c r="K110" s="149"/>
      <c r="L110" s="149"/>
      <c r="M110" s="141"/>
      <c r="N110" s="148"/>
      <c r="O110" s="141"/>
      <c r="P110" s="141"/>
      <c r="Q110" s="155"/>
      <c r="R110" s="156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6"/>
      <c r="AI110" s="141"/>
      <c r="AJ110" s="141"/>
    </row>
    <row r="111" spans="1:37" ht="56.25" hidden="1" customHeight="1" x14ac:dyDescent="0.45">
      <c r="A111" s="163">
        <v>1</v>
      </c>
      <c r="B111" s="19">
        <v>1</v>
      </c>
      <c r="C111" s="145" t="s">
        <v>207</v>
      </c>
      <c r="D111" s="19" t="s">
        <v>381</v>
      </c>
      <c r="E111" s="146" t="s">
        <v>382</v>
      </c>
      <c r="F111" s="19" t="s">
        <v>383</v>
      </c>
      <c r="G111" s="19">
        <v>1970</v>
      </c>
      <c r="H111" s="19">
        <v>5</v>
      </c>
      <c r="I111" s="19">
        <v>6</v>
      </c>
      <c r="J111" s="23">
        <v>4398.5</v>
      </c>
      <c r="K111" s="23"/>
      <c r="L111" s="23"/>
      <c r="M111" s="19">
        <v>217</v>
      </c>
      <c r="N111" s="15" t="s">
        <v>365</v>
      </c>
      <c r="O111" s="19" t="s">
        <v>366</v>
      </c>
      <c r="P111" s="19"/>
      <c r="Q111" s="157"/>
      <c r="R111" s="158">
        <v>2377151.2400000002</v>
      </c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61">
        <v>124000</v>
      </c>
      <c r="AD111" s="157">
        <f t="shared" si="28"/>
        <v>2501151.2400000002</v>
      </c>
      <c r="AE111" s="157">
        <f t="shared" si="29"/>
        <v>2501151.2400000002</v>
      </c>
      <c r="AF111" s="157"/>
      <c r="AG111" s="157"/>
      <c r="AH111" s="159"/>
      <c r="AI111" s="19">
        <v>2022</v>
      </c>
      <c r="AJ111" s="19">
        <v>2022</v>
      </c>
      <c r="AK111" s="130" t="s">
        <v>387</v>
      </c>
    </row>
    <row r="112" spans="1:37" s="124" customFormat="1" ht="15" hidden="1" customHeight="1" x14ac:dyDescent="0.45">
      <c r="A112" s="140"/>
      <c r="B112" s="141"/>
      <c r="C112" s="143"/>
      <c r="D112" s="141"/>
      <c r="E112" s="141"/>
      <c r="F112" s="141"/>
      <c r="G112" s="141"/>
      <c r="H112" s="141"/>
      <c r="I112" s="141"/>
      <c r="J112" s="149"/>
      <c r="K112" s="149"/>
      <c r="L112" s="149"/>
      <c r="M112" s="141"/>
      <c r="N112" s="148"/>
      <c r="O112" s="141"/>
      <c r="P112" s="141"/>
      <c r="Q112" s="155"/>
      <c r="R112" s="156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6"/>
      <c r="AI112" s="141"/>
      <c r="AJ112" s="141"/>
    </row>
    <row r="113" spans="1:37" ht="56.25" hidden="1" customHeight="1" x14ac:dyDescent="0.45">
      <c r="A113" s="163">
        <v>1</v>
      </c>
      <c r="B113" s="19">
        <v>1</v>
      </c>
      <c r="C113" s="145" t="s">
        <v>208</v>
      </c>
      <c r="D113" s="19" t="s">
        <v>381</v>
      </c>
      <c r="E113" s="146" t="s">
        <v>382</v>
      </c>
      <c r="F113" s="19" t="s">
        <v>383</v>
      </c>
      <c r="G113" s="19">
        <v>1966</v>
      </c>
      <c r="H113" s="19">
        <v>5</v>
      </c>
      <c r="I113" s="19">
        <v>4</v>
      </c>
      <c r="J113" s="23">
        <v>3035.1</v>
      </c>
      <c r="K113" s="23"/>
      <c r="L113" s="23"/>
      <c r="M113" s="19" t="s">
        <v>411</v>
      </c>
      <c r="N113" s="15" t="s">
        <v>365</v>
      </c>
      <c r="O113" s="19" t="s">
        <v>366</v>
      </c>
      <c r="P113" s="19"/>
      <c r="Q113" s="157"/>
      <c r="R113" s="158">
        <v>2377151.2400000002</v>
      </c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61">
        <v>124000</v>
      </c>
      <c r="AD113" s="157">
        <f t="shared" si="28"/>
        <v>2501151.2400000002</v>
      </c>
      <c r="AE113" s="157">
        <f t="shared" si="29"/>
        <v>2501151.2400000002</v>
      </c>
      <c r="AF113" s="157"/>
      <c r="AG113" s="157"/>
      <c r="AH113" s="159"/>
      <c r="AI113" s="19">
        <v>2022</v>
      </c>
      <c r="AJ113" s="19">
        <v>2022</v>
      </c>
      <c r="AK113" s="130" t="s">
        <v>387</v>
      </c>
    </row>
    <row r="114" spans="1:37" s="124" customFormat="1" ht="15" hidden="1" customHeight="1" x14ac:dyDescent="0.45">
      <c r="A114" s="140"/>
      <c r="B114" s="141"/>
      <c r="C114" s="143"/>
      <c r="D114" s="141"/>
      <c r="E114" s="141"/>
      <c r="F114" s="141"/>
      <c r="G114" s="141"/>
      <c r="H114" s="141"/>
      <c r="I114" s="141"/>
      <c r="J114" s="149"/>
      <c r="K114" s="149"/>
      <c r="L114" s="149"/>
      <c r="M114" s="141"/>
      <c r="N114" s="148"/>
      <c r="O114" s="141"/>
      <c r="P114" s="141"/>
      <c r="Q114" s="155"/>
      <c r="R114" s="156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6"/>
      <c r="AI114" s="141"/>
      <c r="AJ114" s="141"/>
    </row>
    <row r="115" spans="1:37" ht="63.75" hidden="1" customHeight="1" x14ac:dyDescent="0.45">
      <c r="A115" s="163">
        <v>1</v>
      </c>
      <c r="B115" s="19">
        <v>1</v>
      </c>
      <c r="C115" s="145" t="s">
        <v>209</v>
      </c>
      <c r="D115" s="19" t="s">
        <v>381</v>
      </c>
      <c r="E115" s="146" t="s">
        <v>382</v>
      </c>
      <c r="F115" s="19" t="s">
        <v>383</v>
      </c>
      <c r="G115" s="19" t="s">
        <v>392</v>
      </c>
      <c r="H115" s="19">
        <v>9</v>
      </c>
      <c r="I115" s="19">
        <v>2</v>
      </c>
      <c r="J115" s="23">
        <v>3889.1</v>
      </c>
      <c r="K115" s="23"/>
      <c r="L115" s="23"/>
      <c r="M115" s="19">
        <v>185</v>
      </c>
      <c r="N115" s="15" t="s">
        <v>365</v>
      </c>
      <c r="O115" s="19" t="s">
        <v>366</v>
      </c>
      <c r="P115" s="19"/>
      <c r="Q115" s="157"/>
      <c r="R115" s="158">
        <v>2377151.2400000002</v>
      </c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61">
        <v>124000</v>
      </c>
      <c r="AD115" s="157">
        <f t="shared" ref="AD115:AD119" si="30">R115+AC115</f>
        <v>2501151.2400000002</v>
      </c>
      <c r="AE115" s="157">
        <f t="shared" ref="AE115:AE119" si="31">AD115</f>
        <v>2501151.2400000002</v>
      </c>
      <c r="AF115" s="157"/>
      <c r="AG115" s="157"/>
      <c r="AH115" s="159"/>
      <c r="AI115" s="19">
        <v>2022</v>
      </c>
      <c r="AJ115" s="19">
        <v>2022</v>
      </c>
      <c r="AK115" s="130" t="s">
        <v>387</v>
      </c>
    </row>
    <row r="116" spans="1:37" s="124" customFormat="1" ht="15" hidden="1" customHeight="1" x14ac:dyDescent="0.45">
      <c r="A116" s="140"/>
      <c r="B116" s="141"/>
      <c r="C116" s="143"/>
      <c r="D116" s="141"/>
      <c r="E116" s="141"/>
      <c r="F116" s="141"/>
      <c r="G116" s="141"/>
      <c r="H116" s="141"/>
      <c r="I116" s="141"/>
      <c r="J116" s="149"/>
      <c r="K116" s="149"/>
      <c r="L116" s="149"/>
      <c r="M116" s="141"/>
      <c r="N116" s="148"/>
      <c r="O116" s="141"/>
      <c r="P116" s="141"/>
      <c r="Q116" s="155"/>
      <c r="R116" s="156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6"/>
      <c r="AI116" s="141"/>
      <c r="AJ116" s="141"/>
    </row>
    <row r="117" spans="1:37" ht="63.75" hidden="1" customHeight="1" x14ac:dyDescent="0.45">
      <c r="A117" s="163">
        <v>1</v>
      </c>
      <c r="B117" s="19">
        <v>1</v>
      </c>
      <c r="C117" s="145" t="s">
        <v>210</v>
      </c>
      <c r="D117" s="19" t="s">
        <v>381</v>
      </c>
      <c r="E117" s="146" t="s">
        <v>382</v>
      </c>
      <c r="F117" s="19" t="s">
        <v>383</v>
      </c>
      <c r="G117" s="19" t="s">
        <v>392</v>
      </c>
      <c r="H117" s="19">
        <v>9</v>
      </c>
      <c r="I117" s="19">
        <v>2</v>
      </c>
      <c r="J117" s="23">
        <v>3883.9</v>
      </c>
      <c r="K117" s="23"/>
      <c r="L117" s="23"/>
      <c r="M117" s="19">
        <v>185</v>
      </c>
      <c r="N117" s="15" t="s">
        <v>365</v>
      </c>
      <c r="O117" s="19" t="s">
        <v>366</v>
      </c>
      <c r="P117" s="19"/>
      <c r="Q117" s="157"/>
      <c r="R117" s="158">
        <v>2377151.2400000002</v>
      </c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61">
        <v>124000</v>
      </c>
      <c r="AD117" s="157">
        <f t="shared" si="30"/>
        <v>2501151.2400000002</v>
      </c>
      <c r="AE117" s="157">
        <f t="shared" si="31"/>
        <v>2501151.2400000002</v>
      </c>
      <c r="AF117" s="157"/>
      <c r="AG117" s="157"/>
      <c r="AH117" s="159"/>
      <c r="AI117" s="19">
        <v>2022</v>
      </c>
      <c r="AJ117" s="19">
        <v>2022</v>
      </c>
      <c r="AK117" s="130" t="s">
        <v>387</v>
      </c>
    </row>
    <row r="118" spans="1:37" s="124" customFormat="1" ht="15" hidden="1" customHeight="1" x14ac:dyDescent="0.45">
      <c r="A118" s="140"/>
      <c r="B118" s="141"/>
      <c r="C118" s="143"/>
      <c r="D118" s="141"/>
      <c r="E118" s="141"/>
      <c r="F118" s="141"/>
      <c r="G118" s="141"/>
      <c r="H118" s="141"/>
      <c r="I118" s="141"/>
      <c r="J118" s="149"/>
      <c r="K118" s="149"/>
      <c r="L118" s="149"/>
      <c r="M118" s="141"/>
      <c r="N118" s="148"/>
      <c r="O118" s="141"/>
      <c r="P118" s="141"/>
      <c r="Q118" s="155"/>
      <c r="R118" s="156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6"/>
      <c r="AI118" s="141"/>
      <c r="AJ118" s="141"/>
    </row>
    <row r="119" spans="1:37" ht="63.75" hidden="1" customHeight="1" x14ac:dyDescent="0.45">
      <c r="A119" s="163">
        <v>1</v>
      </c>
      <c r="B119" s="19">
        <v>1</v>
      </c>
      <c r="C119" s="145" t="s">
        <v>211</v>
      </c>
      <c r="D119" s="19" t="s">
        <v>381</v>
      </c>
      <c r="E119" s="146" t="s">
        <v>382</v>
      </c>
      <c r="F119" s="19" t="s">
        <v>383</v>
      </c>
      <c r="G119" s="19">
        <v>1970</v>
      </c>
      <c r="H119" s="19">
        <v>5</v>
      </c>
      <c r="I119" s="19">
        <v>4</v>
      </c>
      <c r="J119" s="23">
        <v>3502.6</v>
      </c>
      <c r="K119" s="23"/>
      <c r="L119" s="23"/>
      <c r="M119" s="19">
        <v>152</v>
      </c>
      <c r="N119" s="15" t="s">
        <v>365</v>
      </c>
      <c r="O119" s="19" t="s">
        <v>366</v>
      </c>
      <c r="P119" s="19"/>
      <c r="Q119" s="157"/>
      <c r="R119" s="158">
        <v>2377151.2400000002</v>
      </c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61">
        <v>124000</v>
      </c>
      <c r="AD119" s="157">
        <f t="shared" si="30"/>
        <v>2501151.2400000002</v>
      </c>
      <c r="AE119" s="157">
        <f t="shared" si="31"/>
        <v>2501151.2400000002</v>
      </c>
      <c r="AF119" s="157"/>
      <c r="AG119" s="157"/>
      <c r="AH119" s="159"/>
      <c r="AI119" s="19">
        <v>2022</v>
      </c>
      <c r="AJ119" s="19">
        <v>2022</v>
      </c>
      <c r="AK119" s="130" t="s">
        <v>387</v>
      </c>
    </row>
    <row r="120" spans="1:37" s="124" customFormat="1" ht="15" hidden="1" customHeight="1" x14ac:dyDescent="0.45">
      <c r="A120" s="140"/>
      <c r="B120" s="141"/>
      <c r="C120" s="143"/>
      <c r="D120" s="141"/>
      <c r="E120" s="141"/>
      <c r="F120" s="141"/>
      <c r="G120" s="141"/>
      <c r="H120" s="141"/>
      <c r="I120" s="141"/>
      <c r="J120" s="149"/>
      <c r="K120" s="149"/>
      <c r="L120" s="149"/>
      <c r="M120" s="141"/>
      <c r="N120" s="148"/>
      <c r="O120" s="141"/>
      <c r="P120" s="141"/>
      <c r="Q120" s="155"/>
      <c r="R120" s="156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6"/>
      <c r="AI120" s="141"/>
      <c r="AJ120" s="141"/>
    </row>
    <row r="121" spans="1:37" ht="63.75" hidden="1" customHeight="1" x14ac:dyDescent="0.45">
      <c r="A121" s="163">
        <v>1</v>
      </c>
      <c r="B121" s="19">
        <v>1</v>
      </c>
      <c r="C121" s="145" t="s">
        <v>212</v>
      </c>
      <c r="D121" s="19" t="s">
        <v>381</v>
      </c>
      <c r="E121" s="146" t="s">
        <v>382</v>
      </c>
      <c r="F121" s="19" t="s">
        <v>383</v>
      </c>
      <c r="G121" s="19">
        <v>1971</v>
      </c>
      <c r="H121" s="19">
        <v>5</v>
      </c>
      <c r="I121" s="19">
        <v>4</v>
      </c>
      <c r="J121" s="23">
        <v>3470.5</v>
      </c>
      <c r="K121" s="23"/>
      <c r="L121" s="23"/>
      <c r="M121" s="19">
        <v>155</v>
      </c>
      <c r="N121" s="15" t="s">
        <v>365</v>
      </c>
      <c r="O121" s="19" t="s">
        <v>366</v>
      </c>
      <c r="P121" s="19"/>
      <c r="Q121" s="157"/>
      <c r="R121" s="158">
        <v>2377151.2400000002</v>
      </c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61">
        <v>124000</v>
      </c>
      <c r="AD121" s="157">
        <f>R121+AC121</f>
        <v>2501151.2400000002</v>
      </c>
      <c r="AE121" s="157">
        <f t="shared" ref="AE121:AE125" si="32">AD121</f>
        <v>2501151.2400000002</v>
      </c>
      <c r="AF121" s="157"/>
      <c r="AG121" s="157"/>
      <c r="AH121" s="159"/>
      <c r="AI121" s="19">
        <v>2022</v>
      </c>
      <c r="AJ121" s="19">
        <v>2022</v>
      </c>
      <c r="AK121" s="130" t="s">
        <v>387</v>
      </c>
    </row>
    <row r="122" spans="1:37" s="124" customFormat="1" ht="15" hidden="1" customHeight="1" x14ac:dyDescent="0.45">
      <c r="A122" s="140"/>
      <c r="B122" s="141"/>
      <c r="C122" s="143"/>
      <c r="D122" s="141"/>
      <c r="E122" s="141"/>
      <c r="F122" s="141"/>
      <c r="G122" s="141"/>
      <c r="H122" s="141"/>
      <c r="I122" s="141"/>
      <c r="J122" s="168"/>
      <c r="K122" s="149"/>
      <c r="L122" s="149"/>
      <c r="M122" s="141"/>
      <c r="N122" s="141"/>
      <c r="O122" s="141"/>
      <c r="P122" s="141"/>
      <c r="Q122" s="155"/>
      <c r="R122" s="156">
        <v>15547482.42</v>
      </c>
      <c r="S122" s="155">
        <v>3014727.51</v>
      </c>
      <c r="T122" s="155">
        <v>3205955.33</v>
      </c>
      <c r="U122" s="155"/>
      <c r="V122" s="155">
        <v>3232226.09</v>
      </c>
      <c r="W122" s="155"/>
      <c r="X122" s="155"/>
      <c r="Y122" s="155">
        <v>18099582.329999998</v>
      </c>
      <c r="Z122" s="155"/>
      <c r="AA122" s="155">
        <v>16683097.92</v>
      </c>
      <c r="AB122" s="155"/>
      <c r="AC122" s="155">
        <v>1112855.68</v>
      </c>
      <c r="AD122" s="155">
        <v>60895927.280000001</v>
      </c>
      <c r="AE122" s="155"/>
      <c r="AF122" s="155"/>
      <c r="AG122" s="155">
        <v>60895927.280000001</v>
      </c>
      <c r="AH122" s="162"/>
      <c r="AI122" s="141"/>
      <c r="AJ122" s="141"/>
    </row>
    <row r="123" spans="1:37" ht="84.6" hidden="1" customHeight="1" x14ac:dyDescent="0.45">
      <c r="A123" s="163">
        <v>1</v>
      </c>
      <c r="B123" s="19">
        <v>307</v>
      </c>
      <c r="C123" s="164" t="s">
        <v>412</v>
      </c>
      <c r="D123" s="19" t="s">
        <v>413</v>
      </c>
      <c r="E123" s="165" t="s">
        <v>414</v>
      </c>
      <c r="F123" s="19"/>
      <c r="G123" s="19">
        <v>1957</v>
      </c>
      <c r="H123" s="19">
        <v>7</v>
      </c>
      <c r="I123" s="19">
        <v>3</v>
      </c>
      <c r="J123" s="23">
        <v>7353.7</v>
      </c>
      <c r="K123" s="23">
        <v>7353.7</v>
      </c>
      <c r="L123" s="23" t="s">
        <v>364</v>
      </c>
      <c r="M123" s="19">
        <v>185</v>
      </c>
      <c r="N123" s="15" t="s">
        <v>365</v>
      </c>
      <c r="O123" s="19" t="s">
        <v>366</v>
      </c>
      <c r="P123" s="19" t="s">
        <v>415</v>
      </c>
      <c r="Q123" s="28"/>
      <c r="R123" s="37"/>
      <c r="S123" s="28"/>
      <c r="T123" s="28"/>
      <c r="U123" s="28"/>
      <c r="V123" s="28"/>
      <c r="W123" s="28"/>
      <c r="X123" s="28"/>
      <c r="Y123" s="170">
        <v>36092497.159999996</v>
      </c>
      <c r="Z123" s="28"/>
      <c r="AA123" s="170">
        <v>52776564.729999997</v>
      </c>
      <c r="AB123" s="28"/>
      <c r="AC123" s="170">
        <v>6128900.8200000003</v>
      </c>
      <c r="AD123" s="170">
        <f>Y123+AA123+AC123</f>
        <v>94997962.709999979</v>
      </c>
      <c r="AE123" s="28">
        <f t="shared" si="32"/>
        <v>94997962.709999979</v>
      </c>
      <c r="AF123" s="28"/>
      <c r="AG123" s="28"/>
      <c r="AH123" s="37"/>
      <c r="AI123" s="19">
        <v>2022</v>
      </c>
      <c r="AJ123" s="19">
        <v>2023</v>
      </c>
      <c r="AK123" s="130" t="s">
        <v>416</v>
      </c>
    </row>
    <row r="124" spans="1:37" s="124" customFormat="1" ht="15" hidden="1" customHeight="1" x14ac:dyDescent="0.45">
      <c r="A124" s="140"/>
      <c r="B124" s="141"/>
      <c r="C124" s="143"/>
      <c r="D124" s="141"/>
      <c r="E124" s="141"/>
      <c r="F124" s="141"/>
      <c r="G124" s="141"/>
      <c r="H124" s="141"/>
      <c r="I124" s="141"/>
      <c r="J124" s="149"/>
      <c r="K124" s="149"/>
      <c r="L124" s="149"/>
      <c r="M124" s="149"/>
      <c r="N124" s="148"/>
      <c r="O124" s="141"/>
      <c r="P124" s="141"/>
      <c r="Q124" s="155"/>
      <c r="R124" s="156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62"/>
      <c r="AI124" s="141"/>
      <c r="AJ124" s="141"/>
    </row>
    <row r="125" spans="1:37" ht="84.9" hidden="1" customHeight="1" x14ac:dyDescent="0.45">
      <c r="A125" s="163"/>
      <c r="B125" s="19">
        <v>308</v>
      </c>
      <c r="C125" s="164" t="s">
        <v>417</v>
      </c>
      <c r="D125" s="19" t="s">
        <v>413</v>
      </c>
      <c r="E125" s="165" t="s">
        <v>414</v>
      </c>
      <c r="F125" s="19"/>
      <c r="G125" s="19">
        <v>1962</v>
      </c>
      <c r="H125" s="19">
        <v>6</v>
      </c>
      <c r="I125" s="19">
        <v>6</v>
      </c>
      <c r="J125" s="23">
        <v>5852.7</v>
      </c>
      <c r="K125" s="23">
        <v>5852.7</v>
      </c>
      <c r="L125" s="23" t="s">
        <v>364</v>
      </c>
      <c r="M125" s="23" t="s">
        <v>364</v>
      </c>
      <c r="N125" s="15" t="s">
        <v>365</v>
      </c>
      <c r="O125" s="19" t="s">
        <v>366</v>
      </c>
      <c r="P125" s="19"/>
      <c r="Q125" s="28"/>
      <c r="R125" s="37"/>
      <c r="S125" s="28"/>
      <c r="T125" s="28"/>
      <c r="U125" s="28"/>
      <c r="V125" s="28"/>
      <c r="W125" s="28"/>
      <c r="X125" s="28"/>
      <c r="Y125" s="170">
        <v>22141930.84</v>
      </c>
      <c r="Z125" s="28"/>
      <c r="AA125" s="170">
        <v>20409089.760000002</v>
      </c>
      <c r="AB125" s="28"/>
      <c r="AC125" s="170">
        <v>2934553.14</v>
      </c>
      <c r="AD125" s="170">
        <f>Y125+AA125+AC125</f>
        <v>45485573.740000002</v>
      </c>
      <c r="AE125" s="28">
        <f t="shared" si="32"/>
        <v>45485573.740000002</v>
      </c>
      <c r="AF125" s="28"/>
      <c r="AG125" s="28"/>
      <c r="AH125" s="37"/>
      <c r="AI125" s="19">
        <v>2022</v>
      </c>
      <c r="AJ125" s="19">
        <v>2023</v>
      </c>
      <c r="AK125" s="130" t="s">
        <v>416</v>
      </c>
    </row>
    <row r="126" spans="1:37" s="124" customFormat="1" ht="15" hidden="1" customHeight="1" x14ac:dyDescent="0.45">
      <c r="A126" s="140"/>
      <c r="B126" s="141"/>
      <c r="C126" s="143"/>
      <c r="D126" s="141"/>
      <c r="E126" s="141"/>
      <c r="F126" s="141"/>
      <c r="G126" s="141"/>
      <c r="H126" s="141"/>
      <c r="I126" s="141"/>
      <c r="J126" s="168"/>
      <c r="K126" s="149"/>
      <c r="L126" s="149"/>
      <c r="M126" s="141"/>
      <c r="N126" s="141"/>
      <c r="O126" s="141"/>
      <c r="P126" s="141"/>
      <c r="Q126" s="155"/>
      <c r="R126" s="156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62"/>
      <c r="AI126" s="141"/>
      <c r="AJ126" s="141"/>
    </row>
    <row r="127" spans="1:37" ht="64.5" hidden="1" customHeight="1" x14ac:dyDescent="0.45">
      <c r="A127" s="163">
        <v>1</v>
      </c>
      <c r="B127" s="19">
        <v>1</v>
      </c>
      <c r="C127" s="166" t="s">
        <v>418</v>
      </c>
      <c r="D127" s="19" t="s">
        <v>381</v>
      </c>
      <c r="E127" s="146" t="s">
        <v>382</v>
      </c>
      <c r="F127" s="19" t="s">
        <v>383</v>
      </c>
      <c r="G127" s="19">
        <v>1981</v>
      </c>
      <c r="H127" s="19">
        <v>9</v>
      </c>
      <c r="I127" s="19">
        <v>1</v>
      </c>
      <c r="J127" s="23">
        <v>2423.1999999999998</v>
      </c>
      <c r="K127" s="23">
        <v>2423.1999999999998</v>
      </c>
      <c r="L127" s="23">
        <v>2423.1999999999998</v>
      </c>
      <c r="M127" s="19">
        <v>103</v>
      </c>
      <c r="N127" s="15" t="s">
        <v>365</v>
      </c>
      <c r="O127" s="19" t="s">
        <v>366</v>
      </c>
      <c r="P127" s="19"/>
      <c r="Q127" s="157"/>
      <c r="R127" s="159"/>
      <c r="S127" s="157"/>
      <c r="T127" s="157"/>
      <c r="U127" s="157"/>
      <c r="V127" s="157"/>
      <c r="W127" s="157"/>
      <c r="X127" s="169">
        <v>1851415.78</v>
      </c>
      <c r="Y127" s="157"/>
      <c r="Z127" s="157"/>
      <c r="AA127" s="157"/>
      <c r="AB127" s="157"/>
      <c r="AC127" s="169">
        <v>75945.039999999994</v>
      </c>
      <c r="AD127" s="157">
        <f>X127+AC127</f>
        <v>1927360.82</v>
      </c>
      <c r="AE127" s="157">
        <f>AD127</f>
        <v>1927360.82</v>
      </c>
      <c r="AF127" s="157"/>
      <c r="AG127" s="157"/>
      <c r="AH127" s="159"/>
      <c r="AI127" s="19">
        <v>2022</v>
      </c>
      <c r="AJ127" s="19">
        <v>2022</v>
      </c>
      <c r="AK127" s="130" t="s">
        <v>393</v>
      </c>
    </row>
    <row r="128" spans="1:37" s="124" customFormat="1" ht="15" hidden="1" customHeight="1" x14ac:dyDescent="0.45">
      <c r="A128" s="140"/>
      <c r="B128" s="141"/>
      <c r="C128" s="167"/>
      <c r="D128" s="141"/>
      <c r="E128" s="141"/>
      <c r="F128" s="141"/>
      <c r="G128" s="141"/>
      <c r="H128" s="141"/>
      <c r="I128" s="141"/>
      <c r="J128" s="149"/>
      <c r="K128" s="149"/>
      <c r="L128" s="149"/>
      <c r="M128" s="141"/>
      <c r="N128" s="148"/>
      <c r="O128" s="141"/>
      <c r="P128" s="141"/>
      <c r="Q128" s="155"/>
      <c r="R128" s="156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6"/>
      <c r="AI128" s="141"/>
      <c r="AJ128" s="141"/>
    </row>
    <row r="129" spans="1:37" ht="84.9" hidden="1" customHeight="1" x14ac:dyDescent="0.45">
      <c r="A129" s="163">
        <v>1</v>
      </c>
      <c r="B129" s="19">
        <v>255</v>
      </c>
      <c r="C129" s="164" t="s">
        <v>419</v>
      </c>
      <c r="D129" s="19" t="s">
        <v>420</v>
      </c>
      <c r="E129" s="19" t="s">
        <v>369</v>
      </c>
      <c r="F129" s="19" t="s">
        <v>421</v>
      </c>
      <c r="G129" s="19">
        <v>1973</v>
      </c>
      <c r="H129" s="19">
        <v>5</v>
      </c>
      <c r="I129" s="19">
        <v>6</v>
      </c>
      <c r="J129" s="39" t="s">
        <v>422</v>
      </c>
      <c r="K129" s="23">
        <v>4784.2</v>
      </c>
      <c r="L129" s="23" t="s">
        <v>364</v>
      </c>
      <c r="M129" s="19" t="s">
        <v>364</v>
      </c>
      <c r="N129" s="19" t="s">
        <v>423</v>
      </c>
      <c r="O129" s="19" t="s">
        <v>366</v>
      </c>
      <c r="P129" s="19"/>
      <c r="Q129" s="28"/>
      <c r="R129" s="101">
        <v>16221481.800000001</v>
      </c>
      <c r="S129" s="41"/>
      <c r="T129" s="41"/>
      <c r="U129" s="28"/>
      <c r="V129" s="99">
        <v>3372346.42</v>
      </c>
      <c r="W129" s="28"/>
      <c r="X129" s="28"/>
      <c r="Y129" s="99">
        <v>18884217.879999999</v>
      </c>
      <c r="Z129" s="28"/>
      <c r="AA129" s="99">
        <v>17406327.41</v>
      </c>
      <c r="AB129" s="28"/>
      <c r="AC129" s="99">
        <v>997058.37</v>
      </c>
      <c r="AD129" s="99">
        <f>R129+V129+Y129+AA129+AC129</f>
        <v>56881431.879999988</v>
      </c>
      <c r="AE129" s="28"/>
      <c r="AF129" s="28"/>
      <c r="AG129" s="28">
        <f t="shared" ref="AG129:AG134" si="33">AD129</f>
        <v>56881431.879999988</v>
      </c>
      <c r="AH129" s="37"/>
      <c r="AI129" s="19">
        <v>2020</v>
      </c>
      <c r="AJ129" s="19">
        <v>2022</v>
      </c>
    </row>
    <row r="130" spans="1:37" s="124" customFormat="1" ht="19.8" hidden="1" customHeight="1" x14ac:dyDescent="0.45">
      <c r="A130" s="140"/>
      <c r="B130" s="141"/>
      <c r="C130" s="167"/>
      <c r="D130" s="141"/>
      <c r="E130" s="141"/>
      <c r="F130" s="141"/>
      <c r="G130" s="141"/>
      <c r="H130" s="141"/>
      <c r="I130" s="141"/>
      <c r="J130" s="168"/>
      <c r="K130" s="149"/>
      <c r="L130" s="149"/>
      <c r="M130" s="141"/>
      <c r="N130" s="141"/>
      <c r="O130" s="141"/>
      <c r="P130" s="141"/>
      <c r="Q130" s="171"/>
      <c r="R130" s="162"/>
      <c r="S130" s="172">
        <v>3145419.05</v>
      </c>
      <c r="T130" s="172">
        <v>3344936.8</v>
      </c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62"/>
      <c r="AI130" s="141"/>
      <c r="AJ130" s="141"/>
      <c r="AK130" s="124" t="s">
        <v>424</v>
      </c>
    </row>
    <row r="131" spans="1:37" s="124" customFormat="1" ht="21" hidden="1" customHeight="1" x14ac:dyDescent="0.45">
      <c r="A131" s="140"/>
      <c r="B131" s="141"/>
      <c r="C131" s="143"/>
      <c r="D131" s="141"/>
      <c r="E131" s="141"/>
      <c r="F131" s="141"/>
      <c r="G131" s="141"/>
      <c r="H131" s="141"/>
      <c r="I131" s="141"/>
      <c r="J131" s="168"/>
      <c r="K131" s="149"/>
      <c r="L131" s="149"/>
      <c r="M131" s="141"/>
      <c r="N131" s="141"/>
      <c r="O131" s="141"/>
      <c r="P131" s="141"/>
      <c r="Q131" s="155"/>
      <c r="R131" s="156">
        <v>15547482.42</v>
      </c>
      <c r="S131" s="155">
        <v>3014727.51</v>
      </c>
      <c r="T131" s="155">
        <v>3205955.33</v>
      </c>
      <c r="U131" s="155"/>
      <c r="V131" s="155">
        <v>3232226.09</v>
      </c>
      <c r="W131" s="155"/>
      <c r="X131" s="155"/>
      <c r="Y131" s="155">
        <v>18099582.329999998</v>
      </c>
      <c r="Z131" s="155"/>
      <c r="AA131" s="155">
        <v>16683097.92</v>
      </c>
      <c r="AB131" s="155"/>
      <c r="AC131" s="155">
        <v>1112855.68</v>
      </c>
      <c r="AD131" s="155">
        <v>60895927.280000001</v>
      </c>
      <c r="AE131" s="155"/>
      <c r="AF131" s="155"/>
      <c r="AG131" s="155">
        <v>60895927.280000001</v>
      </c>
      <c r="AH131" s="162"/>
      <c r="AI131" s="141"/>
      <c r="AJ131" s="141"/>
    </row>
    <row r="132" spans="1:37" ht="73.5" hidden="1" customHeight="1" x14ac:dyDescent="0.45">
      <c r="A132" s="163">
        <v>1</v>
      </c>
      <c r="B132" s="19">
        <v>1</v>
      </c>
      <c r="C132" s="147" t="s">
        <v>216</v>
      </c>
      <c r="D132" s="19" t="s">
        <v>381</v>
      </c>
      <c r="E132" s="146" t="s">
        <v>382</v>
      </c>
      <c r="F132" s="19" t="s">
        <v>383</v>
      </c>
      <c r="G132" s="19">
        <v>1976</v>
      </c>
      <c r="H132" s="19">
        <v>9</v>
      </c>
      <c r="I132" s="19">
        <v>2</v>
      </c>
      <c r="J132" s="23">
        <v>4070.84</v>
      </c>
      <c r="K132" s="23">
        <v>4070.84</v>
      </c>
      <c r="L132" s="23">
        <v>4070.84</v>
      </c>
      <c r="M132" s="19">
        <v>156</v>
      </c>
      <c r="N132" s="19" t="s">
        <v>365</v>
      </c>
      <c r="O132" s="19" t="s">
        <v>366</v>
      </c>
      <c r="P132" s="19"/>
      <c r="Q132" s="157"/>
      <c r="R132" s="159"/>
      <c r="S132" s="157"/>
      <c r="T132" s="157"/>
      <c r="U132" s="157"/>
      <c r="V132" s="157"/>
      <c r="W132" s="157"/>
      <c r="X132" s="160">
        <v>3702831.57</v>
      </c>
      <c r="Y132" s="157"/>
      <c r="Z132" s="28"/>
      <c r="AA132" s="28"/>
      <c r="AB132" s="157"/>
      <c r="AC132" s="160">
        <v>151890.07999999999</v>
      </c>
      <c r="AD132" s="157">
        <f>X132+AC132</f>
        <v>3854721.65</v>
      </c>
      <c r="AE132" s="157"/>
      <c r="AF132" s="157"/>
      <c r="AG132" s="157">
        <f t="shared" si="33"/>
        <v>3854721.65</v>
      </c>
      <c r="AH132" s="37"/>
      <c r="AI132" s="19">
        <v>2022</v>
      </c>
      <c r="AJ132" s="19">
        <v>2022</v>
      </c>
      <c r="AK132" s="130" t="s">
        <v>393</v>
      </c>
    </row>
    <row r="133" spans="1:37" s="124" customFormat="1" ht="15" hidden="1" customHeight="1" x14ac:dyDescent="0.45">
      <c r="A133" s="140"/>
      <c r="B133" s="141"/>
      <c r="C133" s="143"/>
      <c r="D133" s="141"/>
      <c r="E133" s="141"/>
      <c r="F133" s="141"/>
      <c r="G133" s="141"/>
      <c r="H133" s="141"/>
      <c r="I133" s="141"/>
      <c r="J133" s="168"/>
      <c r="K133" s="149"/>
      <c r="L133" s="149"/>
      <c r="M133" s="141"/>
      <c r="N133" s="141"/>
      <c r="O133" s="141"/>
      <c r="P133" s="141"/>
      <c r="Q133" s="155"/>
      <c r="R133" s="156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62"/>
      <c r="AI133" s="141"/>
      <c r="AJ133" s="141"/>
    </row>
    <row r="134" spans="1:37" ht="74.25" hidden="1" customHeight="1" x14ac:dyDescent="0.45">
      <c r="A134" s="163">
        <v>1</v>
      </c>
      <c r="B134" s="19">
        <v>1</v>
      </c>
      <c r="C134" s="147" t="s">
        <v>217</v>
      </c>
      <c r="D134" s="19" t="s">
        <v>381</v>
      </c>
      <c r="E134" s="146" t="s">
        <v>382</v>
      </c>
      <c r="F134" s="19" t="s">
        <v>383</v>
      </c>
      <c r="G134" s="19">
        <v>1976</v>
      </c>
      <c r="H134" s="19">
        <v>9</v>
      </c>
      <c r="I134" s="19">
        <v>2</v>
      </c>
      <c r="J134" s="23">
        <v>6093.6</v>
      </c>
      <c r="K134" s="23">
        <v>6093.6</v>
      </c>
      <c r="L134" s="23">
        <v>5316.3</v>
      </c>
      <c r="M134" s="19" t="s">
        <v>364</v>
      </c>
      <c r="N134" s="19" t="s">
        <v>365</v>
      </c>
      <c r="O134" s="19" t="s">
        <v>366</v>
      </c>
      <c r="P134" s="19"/>
      <c r="Q134" s="157"/>
      <c r="R134" s="159"/>
      <c r="S134" s="157"/>
      <c r="T134" s="157"/>
      <c r="U134" s="157"/>
      <c r="V134" s="157"/>
      <c r="W134" s="157"/>
      <c r="X134" s="160">
        <v>3702831.57</v>
      </c>
      <c r="Y134" s="157"/>
      <c r="Z134" s="28"/>
      <c r="AA134" s="28"/>
      <c r="AB134" s="157"/>
      <c r="AC134" s="160">
        <v>151890.07999999999</v>
      </c>
      <c r="AD134" s="157">
        <f>X134+AC134</f>
        <v>3854721.65</v>
      </c>
      <c r="AE134" s="157"/>
      <c r="AF134" s="157"/>
      <c r="AG134" s="157">
        <f t="shared" si="33"/>
        <v>3854721.65</v>
      </c>
      <c r="AH134" s="37"/>
      <c r="AI134" s="19">
        <v>2022</v>
      </c>
      <c r="AJ134" s="19">
        <v>2022</v>
      </c>
      <c r="AK134" s="130" t="s">
        <v>393</v>
      </c>
    </row>
    <row r="135" spans="1:37" s="124" customFormat="1" ht="15" hidden="1" customHeight="1" x14ac:dyDescent="0.45">
      <c r="A135" s="140"/>
      <c r="B135" s="141"/>
      <c r="C135" s="143"/>
      <c r="D135" s="141"/>
      <c r="E135" s="141"/>
      <c r="F135" s="141"/>
      <c r="G135" s="141"/>
      <c r="H135" s="141"/>
      <c r="I135" s="141"/>
      <c r="J135" s="168"/>
      <c r="K135" s="149"/>
      <c r="L135" s="149"/>
      <c r="M135" s="141"/>
      <c r="N135" s="141"/>
      <c r="O135" s="141"/>
      <c r="P135" s="141"/>
      <c r="Q135" s="155"/>
      <c r="R135" s="156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62"/>
      <c r="AI135" s="141"/>
      <c r="AJ135" s="141"/>
    </row>
    <row r="136" spans="1:37" ht="52.5" hidden="1" customHeight="1" x14ac:dyDescent="0.45">
      <c r="A136" s="163">
        <v>1</v>
      </c>
      <c r="B136" s="19">
        <v>1</v>
      </c>
      <c r="C136" s="145" t="s">
        <v>218</v>
      </c>
      <c r="D136" s="19" t="s">
        <v>381</v>
      </c>
      <c r="E136" s="146" t="s">
        <v>382</v>
      </c>
      <c r="F136" s="19" t="s">
        <v>383</v>
      </c>
      <c r="G136" s="19">
        <v>1972</v>
      </c>
      <c r="H136" s="19">
        <v>9</v>
      </c>
      <c r="I136" s="19">
        <v>2</v>
      </c>
      <c r="J136" s="23">
        <v>4723.8999999999996</v>
      </c>
      <c r="K136" s="23"/>
      <c r="L136" s="23"/>
      <c r="M136" s="19">
        <v>167</v>
      </c>
      <c r="N136" s="19" t="s">
        <v>365</v>
      </c>
      <c r="O136" s="19" t="s">
        <v>366</v>
      </c>
      <c r="P136" s="19"/>
      <c r="Q136" s="157"/>
      <c r="R136" s="158">
        <v>2377151.2400000002</v>
      </c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61">
        <v>124000</v>
      </c>
      <c r="AD136" s="157">
        <f t="shared" ref="AD136:AD140" si="34">R136+AC136</f>
        <v>2501151.2400000002</v>
      </c>
      <c r="AE136" s="157">
        <f t="shared" ref="AE136:AE140" si="35">AD136</f>
        <v>2501151.2400000002</v>
      </c>
      <c r="AF136" s="157"/>
      <c r="AG136" s="157"/>
      <c r="AH136" s="159"/>
      <c r="AI136" s="19">
        <v>2022</v>
      </c>
      <c r="AJ136" s="19">
        <v>2022</v>
      </c>
      <c r="AK136" s="130" t="s">
        <v>387</v>
      </c>
    </row>
    <row r="137" spans="1:37" s="124" customFormat="1" ht="15" hidden="1" customHeight="1" x14ac:dyDescent="0.45">
      <c r="A137" s="140"/>
      <c r="B137" s="141"/>
      <c r="C137" s="143"/>
      <c r="D137" s="141"/>
      <c r="E137" s="141"/>
      <c r="F137" s="141"/>
      <c r="G137" s="141"/>
      <c r="H137" s="141"/>
      <c r="I137" s="141"/>
      <c r="J137" s="168"/>
      <c r="K137" s="149"/>
      <c r="L137" s="149"/>
      <c r="M137" s="141"/>
      <c r="N137" s="141"/>
      <c r="O137" s="141"/>
      <c r="P137" s="141"/>
      <c r="Q137" s="155"/>
      <c r="R137" s="156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62"/>
      <c r="AI137" s="141"/>
      <c r="AJ137" s="141"/>
    </row>
    <row r="138" spans="1:37" ht="52.5" hidden="1" customHeight="1" x14ac:dyDescent="0.45">
      <c r="A138" s="163">
        <v>1</v>
      </c>
      <c r="B138" s="19">
        <v>1</v>
      </c>
      <c r="C138" s="145" t="s">
        <v>219</v>
      </c>
      <c r="D138" s="19" t="s">
        <v>381</v>
      </c>
      <c r="E138" s="146" t="s">
        <v>382</v>
      </c>
      <c r="F138" s="19" t="s">
        <v>383</v>
      </c>
      <c r="G138" s="19">
        <v>1970</v>
      </c>
      <c r="H138" s="19">
        <v>9</v>
      </c>
      <c r="I138" s="19">
        <v>2</v>
      </c>
      <c r="J138" s="23">
        <v>3915.3</v>
      </c>
      <c r="K138" s="23"/>
      <c r="L138" s="23"/>
      <c r="M138" s="19">
        <v>175</v>
      </c>
      <c r="N138" s="19" t="s">
        <v>365</v>
      </c>
      <c r="O138" s="19" t="s">
        <v>366</v>
      </c>
      <c r="P138" s="19"/>
      <c r="Q138" s="157"/>
      <c r="R138" s="158">
        <v>2377151.2400000002</v>
      </c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61">
        <v>124000</v>
      </c>
      <c r="AD138" s="157">
        <f t="shared" si="34"/>
        <v>2501151.2400000002</v>
      </c>
      <c r="AE138" s="157">
        <f t="shared" si="35"/>
        <v>2501151.2400000002</v>
      </c>
      <c r="AF138" s="157"/>
      <c r="AG138" s="157"/>
      <c r="AH138" s="159"/>
      <c r="AI138" s="19">
        <v>2022</v>
      </c>
      <c r="AJ138" s="19">
        <v>2022</v>
      </c>
      <c r="AK138" s="130" t="s">
        <v>387</v>
      </c>
    </row>
    <row r="139" spans="1:37" s="124" customFormat="1" ht="15" hidden="1" customHeight="1" x14ac:dyDescent="0.45">
      <c r="A139" s="140"/>
      <c r="B139" s="141"/>
      <c r="C139" s="143"/>
      <c r="D139" s="141"/>
      <c r="E139" s="141"/>
      <c r="F139" s="141"/>
      <c r="G139" s="141"/>
      <c r="H139" s="141"/>
      <c r="I139" s="141"/>
      <c r="J139" s="168"/>
      <c r="K139" s="149"/>
      <c r="L139" s="149"/>
      <c r="M139" s="141"/>
      <c r="N139" s="141"/>
      <c r="O139" s="141"/>
      <c r="P139" s="141"/>
      <c r="Q139" s="155"/>
      <c r="R139" s="156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62"/>
      <c r="AI139" s="141"/>
      <c r="AJ139" s="141"/>
    </row>
    <row r="140" spans="1:37" ht="52.5" hidden="1" customHeight="1" x14ac:dyDescent="0.45">
      <c r="A140" s="163">
        <v>1</v>
      </c>
      <c r="B140" s="19">
        <v>1</v>
      </c>
      <c r="C140" s="145" t="s">
        <v>220</v>
      </c>
      <c r="D140" s="19" t="s">
        <v>381</v>
      </c>
      <c r="E140" s="146" t="s">
        <v>382</v>
      </c>
      <c r="F140" s="19" t="s">
        <v>383</v>
      </c>
      <c r="G140" s="19">
        <v>1971</v>
      </c>
      <c r="H140" s="19">
        <v>9</v>
      </c>
      <c r="I140" s="19">
        <v>4</v>
      </c>
      <c r="J140" s="23">
        <v>7574.1</v>
      </c>
      <c r="K140" s="23"/>
      <c r="L140" s="23"/>
      <c r="M140" s="19">
        <v>331</v>
      </c>
      <c r="N140" s="19" t="s">
        <v>365</v>
      </c>
      <c r="O140" s="19" t="s">
        <v>366</v>
      </c>
      <c r="P140" s="19"/>
      <c r="Q140" s="157"/>
      <c r="R140" s="158">
        <v>4754302.4800000004</v>
      </c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61">
        <v>248000</v>
      </c>
      <c r="AD140" s="157">
        <f t="shared" si="34"/>
        <v>5002302.4800000004</v>
      </c>
      <c r="AE140" s="157">
        <f t="shared" si="35"/>
        <v>5002302.4800000004</v>
      </c>
      <c r="AF140" s="157"/>
      <c r="AG140" s="157"/>
      <c r="AH140" s="159"/>
      <c r="AI140" s="19">
        <v>2022</v>
      </c>
      <c r="AJ140" s="19">
        <v>2022</v>
      </c>
      <c r="AK140" s="130" t="s">
        <v>387</v>
      </c>
    </row>
    <row r="141" spans="1:37" s="124" customFormat="1" ht="15" hidden="1" customHeight="1" x14ac:dyDescent="0.45">
      <c r="A141" s="140"/>
      <c r="B141" s="141"/>
      <c r="C141" s="143"/>
      <c r="D141" s="141"/>
      <c r="E141" s="141"/>
      <c r="F141" s="141"/>
      <c r="G141" s="141"/>
      <c r="H141" s="141"/>
      <c r="I141" s="141"/>
      <c r="J141" s="168"/>
      <c r="K141" s="149"/>
      <c r="L141" s="149"/>
      <c r="M141" s="141"/>
      <c r="N141" s="141"/>
      <c r="O141" s="141"/>
      <c r="P141" s="141"/>
      <c r="Q141" s="155"/>
      <c r="R141" s="156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62"/>
      <c r="AI141" s="141"/>
      <c r="AJ141" s="141"/>
    </row>
    <row r="142" spans="1:37" ht="52.5" hidden="1" customHeight="1" x14ac:dyDescent="0.45">
      <c r="A142" s="163">
        <v>1</v>
      </c>
      <c r="B142" s="19">
        <v>1</v>
      </c>
      <c r="C142" s="145" t="s">
        <v>221</v>
      </c>
      <c r="D142" s="19" t="s">
        <v>381</v>
      </c>
      <c r="E142" s="146" t="s">
        <v>382</v>
      </c>
      <c r="F142" s="19" t="s">
        <v>383</v>
      </c>
      <c r="G142" s="19">
        <v>1969</v>
      </c>
      <c r="H142" s="19">
        <v>5</v>
      </c>
      <c r="I142" s="19">
        <v>6</v>
      </c>
      <c r="J142" s="23">
        <v>3934.6</v>
      </c>
      <c r="K142" s="23"/>
      <c r="L142" s="23"/>
      <c r="M142" s="19">
        <v>193</v>
      </c>
      <c r="N142" s="19" t="s">
        <v>365</v>
      </c>
      <c r="O142" s="19" t="s">
        <v>366</v>
      </c>
      <c r="P142" s="19"/>
      <c r="Q142" s="157"/>
      <c r="R142" s="158">
        <v>2377151.2400000002</v>
      </c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61">
        <v>124000</v>
      </c>
      <c r="AD142" s="157">
        <f t="shared" ref="AD142:AD146" si="36">R142+AC142</f>
        <v>2501151.2400000002</v>
      </c>
      <c r="AE142" s="157">
        <f t="shared" ref="AE142:AE146" si="37">AD142</f>
        <v>2501151.2400000002</v>
      </c>
      <c r="AF142" s="157"/>
      <c r="AG142" s="157"/>
      <c r="AH142" s="159"/>
      <c r="AI142" s="19">
        <v>2022</v>
      </c>
      <c r="AJ142" s="19">
        <v>2022</v>
      </c>
      <c r="AK142" s="130" t="s">
        <v>387</v>
      </c>
    </row>
    <row r="143" spans="1:37" s="124" customFormat="1" ht="15" hidden="1" customHeight="1" x14ac:dyDescent="0.45">
      <c r="A143" s="140"/>
      <c r="B143" s="141"/>
      <c r="C143" s="143"/>
      <c r="D143" s="141"/>
      <c r="E143" s="141"/>
      <c r="F143" s="141"/>
      <c r="G143" s="141"/>
      <c r="H143" s="141"/>
      <c r="I143" s="141"/>
      <c r="J143" s="168"/>
      <c r="K143" s="149"/>
      <c r="L143" s="149"/>
      <c r="M143" s="141"/>
      <c r="N143" s="141"/>
      <c r="O143" s="141"/>
      <c r="P143" s="141"/>
      <c r="Q143" s="155"/>
      <c r="R143" s="156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62"/>
      <c r="AI143" s="141"/>
      <c r="AJ143" s="141"/>
    </row>
    <row r="144" spans="1:37" ht="45.75" hidden="1" customHeight="1" x14ac:dyDescent="0.45">
      <c r="A144" s="163">
        <v>1</v>
      </c>
      <c r="B144" s="19">
        <v>1</v>
      </c>
      <c r="C144" s="145" t="s">
        <v>222</v>
      </c>
      <c r="D144" s="19" t="s">
        <v>381</v>
      </c>
      <c r="E144" s="146" t="s">
        <v>382</v>
      </c>
      <c r="F144" s="19" t="s">
        <v>383</v>
      </c>
      <c r="G144" s="19">
        <v>1970</v>
      </c>
      <c r="H144" s="19">
        <v>9</v>
      </c>
      <c r="I144" s="19">
        <v>2</v>
      </c>
      <c r="J144" s="23">
        <v>4588</v>
      </c>
      <c r="K144" s="23"/>
      <c r="L144" s="23"/>
      <c r="M144" s="19">
        <v>179</v>
      </c>
      <c r="N144" s="19" t="s">
        <v>365</v>
      </c>
      <c r="O144" s="19" t="s">
        <v>425</v>
      </c>
      <c r="P144" s="19"/>
      <c r="Q144" s="157"/>
      <c r="R144" s="158">
        <v>2377151.2400000002</v>
      </c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61">
        <v>124000</v>
      </c>
      <c r="AD144" s="157">
        <f t="shared" si="36"/>
        <v>2501151.2400000002</v>
      </c>
      <c r="AE144" s="157">
        <f t="shared" si="37"/>
        <v>2501151.2400000002</v>
      </c>
      <c r="AF144" s="157"/>
      <c r="AG144" s="157"/>
      <c r="AH144" s="159"/>
      <c r="AI144" s="19">
        <v>2022</v>
      </c>
      <c r="AJ144" s="19">
        <v>2022</v>
      </c>
      <c r="AK144" s="130" t="s">
        <v>387</v>
      </c>
    </row>
    <row r="145" spans="1:37" s="124" customFormat="1" ht="18.75" hidden="1" customHeight="1" x14ac:dyDescent="0.45">
      <c r="A145" s="140"/>
      <c r="B145" s="141"/>
      <c r="C145" s="143"/>
      <c r="D145" s="141"/>
      <c r="E145" s="141"/>
      <c r="F145" s="141"/>
      <c r="G145" s="141"/>
      <c r="H145" s="141"/>
      <c r="I145" s="141"/>
      <c r="J145" s="168"/>
      <c r="K145" s="149"/>
      <c r="L145" s="149"/>
      <c r="M145" s="141"/>
      <c r="N145" s="141"/>
      <c r="O145" s="141"/>
      <c r="P145" s="141"/>
      <c r="Q145" s="155"/>
      <c r="R145" s="156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62"/>
      <c r="AI145" s="141"/>
      <c r="AJ145" s="141"/>
    </row>
    <row r="146" spans="1:37" ht="51" hidden="1" customHeight="1" x14ac:dyDescent="0.45">
      <c r="A146" s="163">
        <v>1</v>
      </c>
      <c r="B146" s="19">
        <v>1</v>
      </c>
      <c r="C146" s="145" t="s">
        <v>223</v>
      </c>
      <c r="D146" s="19" t="s">
        <v>381</v>
      </c>
      <c r="E146" s="146" t="s">
        <v>382</v>
      </c>
      <c r="F146" s="19" t="s">
        <v>383</v>
      </c>
      <c r="G146" s="19">
        <v>1970</v>
      </c>
      <c r="H146" s="19">
        <v>5</v>
      </c>
      <c r="I146" s="19">
        <v>6</v>
      </c>
      <c r="J146" s="23">
        <v>3984</v>
      </c>
      <c r="K146" s="23"/>
      <c r="L146" s="23"/>
      <c r="M146" s="19">
        <v>136</v>
      </c>
      <c r="N146" s="19" t="s">
        <v>365</v>
      </c>
      <c r="O146" s="19" t="s">
        <v>366</v>
      </c>
      <c r="P146" s="19"/>
      <c r="Q146" s="157"/>
      <c r="R146" s="158">
        <v>2377151.2400000002</v>
      </c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61">
        <v>124000</v>
      </c>
      <c r="AD146" s="157">
        <f t="shared" si="36"/>
        <v>2501151.2400000002</v>
      </c>
      <c r="AE146" s="157">
        <f t="shared" si="37"/>
        <v>2501151.2400000002</v>
      </c>
      <c r="AF146" s="157"/>
      <c r="AG146" s="157"/>
      <c r="AH146" s="159"/>
      <c r="AI146" s="19">
        <v>2022</v>
      </c>
      <c r="AJ146" s="19">
        <v>2022</v>
      </c>
      <c r="AK146" s="130" t="s">
        <v>387</v>
      </c>
    </row>
    <row r="147" spans="1:37" s="124" customFormat="1" ht="18.75" hidden="1" customHeight="1" x14ac:dyDescent="0.45">
      <c r="A147" s="163"/>
      <c r="B147" s="141"/>
      <c r="C147" s="143"/>
      <c r="D147" s="141"/>
      <c r="E147" s="141"/>
      <c r="F147" s="141"/>
      <c r="G147" s="141"/>
      <c r="H147" s="141"/>
      <c r="I147" s="141"/>
      <c r="J147" s="168"/>
      <c r="K147" s="149"/>
      <c r="L147" s="149"/>
      <c r="M147" s="141"/>
      <c r="N147" s="141"/>
      <c r="O147" s="141"/>
      <c r="P147" s="141"/>
      <c r="Q147" s="155"/>
      <c r="R147" s="156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62"/>
      <c r="AI147" s="141"/>
      <c r="AJ147" s="141"/>
    </row>
    <row r="148" spans="1:37" ht="51" hidden="1" customHeight="1" x14ac:dyDescent="0.45">
      <c r="A148" s="163">
        <v>1</v>
      </c>
      <c r="B148" s="19">
        <v>1</v>
      </c>
      <c r="C148" s="145" t="s">
        <v>224</v>
      </c>
      <c r="D148" s="19" t="s">
        <v>381</v>
      </c>
      <c r="E148" s="146" t="s">
        <v>382</v>
      </c>
      <c r="F148" s="19" t="s">
        <v>383</v>
      </c>
      <c r="G148" s="19">
        <v>1971</v>
      </c>
      <c r="H148" s="19">
        <v>9</v>
      </c>
      <c r="I148" s="19">
        <v>2</v>
      </c>
      <c r="J148" s="23">
        <v>4403</v>
      </c>
      <c r="K148" s="23"/>
      <c r="L148" s="23"/>
      <c r="M148" s="19">
        <v>153</v>
      </c>
      <c r="N148" s="19" t="s">
        <v>365</v>
      </c>
      <c r="O148" s="19" t="s">
        <v>366</v>
      </c>
      <c r="P148" s="19"/>
      <c r="Q148" s="157"/>
      <c r="R148" s="158">
        <v>2377151.2400000002</v>
      </c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61">
        <v>124000</v>
      </c>
      <c r="AD148" s="157">
        <f t="shared" ref="AD148:AD152" si="38">R148+AC148</f>
        <v>2501151.2400000002</v>
      </c>
      <c r="AE148" s="157">
        <f t="shared" ref="AE148:AE152" si="39">AD148</f>
        <v>2501151.2400000002</v>
      </c>
      <c r="AF148" s="157"/>
      <c r="AG148" s="157"/>
      <c r="AH148" s="159"/>
      <c r="AI148" s="19">
        <v>2022</v>
      </c>
      <c r="AJ148" s="19">
        <v>2022</v>
      </c>
      <c r="AK148" s="130" t="s">
        <v>387</v>
      </c>
    </row>
    <row r="149" spans="1:37" s="124" customFormat="1" ht="18.75" hidden="1" customHeight="1" x14ac:dyDescent="0.45">
      <c r="A149" s="163"/>
      <c r="B149" s="141"/>
      <c r="C149" s="143"/>
      <c r="D149" s="141"/>
      <c r="E149" s="141"/>
      <c r="F149" s="141"/>
      <c r="G149" s="141"/>
      <c r="H149" s="141"/>
      <c r="I149" s="141"/>
      <c r="J149" s="168"/>
      <c r="K149" s="149"/>
      <c r="L149" s="149"/>
      <c r="M149" s="141"/>
      <c r="N149" s="141"/>
      <c r="O149" s="141"/>
      <c r="P149" s="141"/>
      <c r="Q149" s="155"/>
      <c r="R149" s="156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62"/>
      <c r="AI149" s="141"/>
      <c r="AJ149" s="141"/>
    </row>
    <row r="150" spans="1:37" ht="51" hidden="1" customHeight="1" x14ac:dyDescent="0.45">
      <c r="A150" s="163">
        <v>1</v>
      </c>
      <c r="B150" s="19">
        <v>1</v>
      </c>
      <c r="C150" s="145" t="s">
        <v>225</v>
      </c>
      <c r="D150" s="19" t="s">
        <v>381</v>
      </c>
      <c r="E150" s="146" t="s">
        <v>382</v>
      </c>
      <c r="F150" s="19" t="s">
        <v>383</v>
      </c>
      <c r="G150" s="19">
        <v>1970</v>
      </c>
      <c r="H150" s="19">
        <v>9</v>
      </c>
      <c r="I150" s="19">
        <v>2</v>
      </c>
      <c r="J150" s="23">
        <v>4553</v>
      </c>
      <c r="K150" s="23"/>
      <c r="L150" s="23"/>
      <c r="M150" s="19">
        <v>157</v>
      </c>
      <c r="N150" s="19" t="s">
        <v>365</v>
      </c>
      <c r="O150" s="19" t="s">
        <v>366</v>
      </c>
      <c r="P150" s="19"/>
      <c r="Q150" s="157"/>
      <c r="R150" s="158">
        <v>2377151.2400000002</v>
      </c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61">
        <v>124000</v>
      </c>
      <c r="AD150" s="157">
        <f t="shared" si="38"/>
        <v>2501151.2400000002</v>
      </c>
      <c r="AE150" s="157">
        <f t="shared" si="39"/>
        <v>2501151.2400000002</v>
      </c>
      <c r="AF150" s="157"/>
      <c r="AG150" s="157"/>
      <c r="AH150" s="159"/>
      <c r="AI150" s="19">
        <v>2022</v>
      </c>
      <c r="AJ150" s="19">
        <v>2022</v>
      </c>
      <c r="AK150" s="130" t="s">
        <v>387</v>
      </c>
    </row>
    <row r="151" spans="1:37" s="124" customFormat="1" ht="18.75" hidden="1" customHeight="1" x14ac:dyDescent="0.45">
      <c r="A151" s="163"/>
      <c r="B151" s="141"/>
      <c r="C151" s="143"/>
      <c r="D151" s="141"/>
      <c r="E151" s="141"/>
      <c r="F151" s="141"/>
      <c r="G151" s="141"/>
      <c r="H151" s="141"/>
      <c r="I151" s="141"/>
      <c r="J151" s="168"/>
      <c r="K151" s="149"/>
      <c r="L151" s="149"/>
      <c r="M151" s="141"/>
      <c r="N151" s="141"/>
      <c r="O151" s="141"/>
      <c r="P151" s="141"/>
      <c r="Q151" s="155"/>
      <c r="R151" s="156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62"/>
      <c r="AI151" s="141"/>
      <c r="AJ151" s="141"/>
    </row>
    <row r="152" spans="1:37" ht="68.25" hidden="1" customHeight="1" x14ac:dyDescent="0.45">
      <c r="A152" s="163">
        <v>1</v>
      </c>
      <c r="B152" s="19">
        <v>1</v>
      </c>
      <c r="C152" s="145" t="s">
        <v>226</v>
      </c>
      <c r="D152" s="19" t="s">
        <v>381</v>
      </c>
      <c r="E152" s="146" t="s">
        <v>382</v>
      </c>
      <c r="F152" s="19" t="s">
        <v>383</v>
      </c>
      <c r="G152" s="19">
        <v>1969</v>
      </c>
      <c r="H152" s="19">
        <v>5</v>
      </c>
      <c r="I152" s="19">
        <v>4</v>
      </c>
      <c r="J152" s="23">
        <v>2629.1</v>
      </c>
      <c r="K152" s="23"/>
      <c r="L152" s="23"/>
      <c r="M152" s="19">
        <v>110</v>
      </c>
      <c r="N152" s="19" t="s">
        <v>365</v>
      </c>
      <c r="O152" s="19" t="s">
        <v>366</v>
      </c>
      <c r="P152" s="19"/>
      <c r="Q152" s="157"/>
      <c r="R152" s="158">
        <v>2377151.2400000002</v>
      </c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61">
        <v>124000</v>
      </c>
      <c r="AD152" s="157">
        <f t="shared" si="38"/>
        <v>2501151.2400000002</v>
      </c>
      <c r="AE152" s="157">
        <f t="shared" si="39"/>
        <v>2501151.2400000002</v>
      </c>
      <c r="AF152" s="157"/>
      <c r="AG152" s="157"/>
      <c r="AH152" s="159"/>
      <c r="AI152" s="19">
        <v>2022</v>
      </c>
      <c r="AJ152" s="19">
        <v>2022</v>
      </c>
      <c r="AK152" s="130" t="s">
        <v>387</v>
      </c>
    </row>
    <row r="153" spans="1:37" s="124" customFormat="1" ht="18.75" hidden="1" customHeight="1" x14ac:dyDescent="0.45">
      <c r="A153" s="163"/>
      <c r="B153" s="141"/>
      <c r="C153" s="143"/>
      <c r="D153" s="141"/>
      <c r="E153" s="141"/>
      <c r="F153" s="141"/>
      <c r="G153" s="141"/>
      <c r="H153" s="141"/>
      <c r="I153" s="141"/>
      <c r="J153" s="168"/>
      <c r="K153" s="149"/>
      <c r="L153" s="149"/>
      <c r="M153" s="141"/>
      <c r="N153" s="141"/>
      <c r="O153" s="141"/>
      <c r="P153" s="141"/>
      <c r="Q153" s="155"/>
      <c r="R153" s="156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62"/>
      <c r="AI153" s="141"/>
      <c r="AJ153" s="141"/>
    </row>
    <row r="154" spans="1:37" ht="52.5" hidden="1" customHeight="1" x14ac:dyDescent="0.45">
      <c r="A154" s="163">
        <v>1</v>
      </c>
      <c r="B154" s="19">
        <v>1</v>
      </c>
      <c r="C154" s="145" t="s">
        <v>227</v>
      </c>
      <c r="D154" s="19" t="s">
        <v>381</v>
      </c>
      <c r="E154" s="146" t="s">
        <v>382</v>
      </c>
      <c r="F154" s="19" t="s">
        <v>383</v>
      </c>
      <c r="G154" s="19">
        <v>1969</v>
      </c>
      <c r="H154" s="19">
        <v>5</v>
      </c>
      <c r="I154" s="19">
        <v>4</v>
      </c>
      <c r="J154" s="23">
        <v>2657</v>
      </c>
      <c r="K154" s="23"/>
      <c r="L154" s="23"/>
      <c r="M154" s="19">
        <v>100</v>
      </c>
      <c r="N154" s="19" t="s">
        <v>365</v>
      </c>
      <c r="O154" s="19" t="s">
        <v>366</v>
      </c>
      <c r="P154" s="19"/>
      <c r="Q154" s="157"/>
      <c r="R154" s="158">
        <v>2377151.2400000002</v>
      </c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61">
        <v>124000</v>
      </c>
      <c r="AD154" s="157">
        <f t="shared" ref="AD154:AD158" si="40">R154+AC154</f>
        <v>2501151.2400000002</v>
      </c>
      <c r="AE154" s="157">
        <f t="shared" ref="AE154:AE158" si="41">AD154</f>
        <v>2501151.2400000002</v>
      </c>
      <c r="AF154" s="157"/>
      <c r="AG154" s="157"/>
      <c r="AH154" s="159"/>
      <c r="AI154" s="19">
        <v>2022</v>
      </c>
      <c r="AJ154" s="19">
        <v>2022</v>
      </c>
      <c r="AK154" s="130" t="s">
        <v>387</v>
      </c>
    </row>
    <row r="155" spans="1:37" s="124" customFormat="1" ht="18.75" hidden="1" customHeight="1" x14ac:dyDescent="0.45">
      <c r="A155" s="163"/>
      <c r="B155" s="141"/>
      <c r="C155" s="143"/>
      <c r="D155" s="141"/>
      <c r="E155" s="141"/>
      <c r="F155" s="141"/>
      <c r="G155" s="141"/>
      <c r="H155" s="141"/>
      <c r="I155" s="141"/>
      <c r="J155" s="168"/>
      <c r="K155" s="149"/>
      <c r="L155" s="149"/>
      <c r="M155" s="141"/>
      <c r="N155" s="141"/>
      <c r="O155" s="141"/>
      <c r="P155" s="141"/>
      <c r="Q155" s="155"/>
      <c r="R155" s="156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62"/>
      <c r="AI155" s="141"/>
      <c r="AJ155" s="141"/>
    </row>
    <row r="156" spans="1:37" ht="52.5" hidden="1" customHeight="1" x14ac:dyDescent="0.45">
      <c r="A156" s="163">
        <v>1</v>
      </c>
      <c r="B156" s="19">
        <v>1</v>
      </c>
      <c r="C156" s="145" t="s">
        <v>228</v>
      </c>
      <c r="D156" s="19" t="s">
        <v>381</v>
      </c>
      <c r="E156" s="146" t="s">
        <v>382</v>
      </c>
      <c r="F156" s="19" t="s">
        <v>383</v>
      </c>
      <c r="G156" s="19">
        <v>1970</v>
      </c>
      <c r="H156" s="19">
        <v>9</v>
      </c>
      <c r="I156" s="19">
        <v>2</v>
      </c>
      <c r="J156" s="23">
        <v>3850.4</v>
      </c>
      <c r="K156" s="23"/>
      <c r="L156" s="23"/>
      <c r="M156" s="19">
        <v>152</v>
      </c>
      <c r="N156" s="19" t="s">
        <v>365</v>
      </c>
      <c r="O156" s="19" t="s">
        <v>366</v>
      </c>
      <c r="P156" s="19"/>
      <c r="Q156" s="157"/>
      <c r="R156" s="158">
        <v>2377151.2400000002</v>
      </c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61">
        <v>124000</v>
      </c>
      <c r="AD156" s="157">
        <f t="shared" si="40"/>
        <v>2501151.2400000002</v>
      </c>
      <c r="AE156" s="157">
        <f t="shared" si="41"/>
        <v>2501151.2400000002</v>
      </c>
      <c r="AF156" s="157"/>
      <c r="AG156" s="157"/>
      <c r="AH156" s="159"/>
      <c r="AI156" s="19">
        <v>2022</v>
      </c>
      <c r="AJ156" s="19">
        <v>2022</v>
      </c>
      <c r="AK156" s="130" t="s">
        <v>387</v>
      </c>
    </row>
    <row r="157" spans="1:37" s="124" customFormat="1" ht="18.75" hidden="1" customHeight="1" x14ac:dyDescent="0.45">
      <c r="A157" s="163"/>
      <c r="B157" s="141"/>
      <c r="C157" s="143"/>
      <c r="D157" s="141"/>
      <c r="E157" s="141"/>
      <c r="F157" s="141"/>
      <c r="G157" s="141"/>
      <c r="H157" s="141"/>
      <c r="I157" s="141"/>
      <c r="J157" s="168"/>
      <c r="K157" s="149"/>
      <c r="L157" s="149"/>
      <c r="M157" s="141"/>
      <c r="N157" s="141"/>
      <c r="O157" s="141"/>
      <c r="P157" s="141"/>
      <c r="Q157" s="155"/>
      <c r="R157" s="156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62"/>
      <c r="AI157" s="141"/>
      <c r="AJ157" s="141"/>
    </row>
    <row r="158" spans="1:37" ht="63.75" hidden="1" customHeight="1" x14ac:dyDescent="0.45">
      <c r="A158" s="163">
        <v>1</v>
      </c>
      <c r="B158" s="19">
        <v>1</v>
      </c>
      <c r="C158" s="145" t="s">
        <v>229</v>
      </c>
      <c r="D158" s="19" t="s">
        <v>381</v>
      </c>
      <c r="E158" s="146" t="s">
        <v>382</v>
      </c>
      <c r="F158" s="19" t="s">
        <v>383</v>
      </c>
      <c r="G158" s="19">
        <v>1970</v>
      </c>
      <c r="H158" s="19">
        <v>9</v>
      </c>
      <c r="I158" s="19">
        <v>2</v>
      </c>
      <c r="J158" s="23" t="s">
        <v>426</v>
      </c>
      <c r="K158" s="23"/>
      <c r="L158" s="23"/>
      <c r="M158" s="19">
        <v>151</v>
      </c>
      <c r="N158" s="19" t="s">
        <v>365</v>
      </c>
      <c r="O158" s="19" t="s">
        <v>366</v>
      </c>
      <c r="P158" s="19"/>
      <c r="Q158" s="157"/>
      <c r="R158" s="158">
        <v>2377151.2400000002</v>
      </c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61">
        <v>124000</v>
      </c>
      <c r="AD158" s="157">
        <f t="shared" si="40"/>
        <v>2501151.2400000002</v>
      </c>
      <c r="AE158" s="157">
        <f t="shared" si="41"/>
        <v>2501151.2400000002</v>
      </c>
      <c r="AF158" s="157"/>
      <c r="AG158" s="157"/>
      <c r="AH158" s="159"/>
      <c r="AI158" s="19">
        <v>2022</v>
      </c>
      <c r="AJ158" s="19">
        <v>2022</v>
      </c>
      <c r="AK158" s="130" t="s">
        <v>387</v>
      </c>
    </row>
    <row r="159" spans="1:37" s="124" customFormat="1" ht="18.75" hidden="1" customHeight="1" x14ac:dyDescent="0.45">
      <c r="A159" s="163"/>
      <c r="B159" s="141"/>
      <c r="C159" s="143"/>
      <c r="D159" s="141"/>
      <c r="E159" s="141"/>
      <c r="F159" s="141"/>
      <c r="G159" s="141"/>
      <c r="H159" s="141"/>
      <c r="I159" s="141"/>
      <c r="J159" s="168"/>
      <c r="K159" s="149"/>
      <c r="L159" s="149"/>
      <c r="M159" s="141"/>
      <c r="N159" s="141"/>
      <c r="O159" s="141"/>
      <c r="P159" s="141"/>
      <c r="Q159" s="155"/>
      <c r="R159" s="156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62"/>
      <c r="AI159" s="141"/>
      <c r="AJ159" s="141"/>
    </row>
    <row r="160" spans="1:37" ht="56.25" hidden="1" customHeight="1" x14ac:dyDescent="0.45">
      <c r="A160" s="163">
        <v>1</v>
      </c>
      <c r="B160" s="19">
        <v>1</v>
      </c>
      <c r="C160" s="145" t="s">
        <v>230</v>
      </c>
      <c r="D160" s="19" t="s">
        <v>381</v>
      </c>
      <c r="E160" s="146" t="s">
        <v>382</v>
      </c>
      <c r="F160" s="19" t="s">
        <v>383</v>
      </c>
      <c r="G160" s="19" t="s">
        <v>392</v>
      </c>
      <c r="H160" s="19">
        <v>9</v>
      </c>
      <c r="I160" s="19">
        <v>2</v>
      </c>
      <c r="J160" s="23">
        <v>3852.4</v>
      </c>
      <c r="K160" s="23"/>
      <c r="L160" s="23"/>
      <c r="M160" s="40" t="s">
        <v>427</v>
      </c>
      <c r="N160" s="40" t="s">
        <v>365</v>
      </c>
      <c r="O160" s="19" t="s">
        <v>366</v>
      </c>
      <c r="P160" s="19"/>
      <c r="Q160" s="157"/>
      <c r="R160" s="158">
        <v>2377151.2400000002</v>
      </c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61">
        <v>124000</v>
      </c>
      <c r="AD160" s="157">
        <f t="shared" ref="AD160:AD164" si="42">R160+AC160</f>
        <v>2501151.2400000002</v>
      </c>
      <c r="AE160" s="157">
        <f t="shared" ref="AE160:AE164" si="43">AD160</f>
        <v>2501151.2400000002</v>
      </c>
      <c r="AF160" s="157"/>
      <c r="AG160" s="157"/>
      <c r="AH160" s="159"/>
      <c r="AI160" s="19">
        <v>2022</v>
      </c>
      <c r="AJ160" s="19">
        <v>2022</v>
      </c>
      <c r="AK160" s="130" t="s">
        <v>387</v>
      </c>
    </row>
    <row r="161" spans="1:37" s="124" customFormat="1" ht="18.75" hidden="1" customHeight="1" x14ac:dyDescent="0.45">
      <c r="A161" s="140"/>
      <c r="B161" s="141"/>
      <c r="C161" s="143"/>
      <c r="D161" s="141"/>
      <c r="E161" s="141"/>
      <c r="F161" s="141"/>
      <c r="G161" s="141"/>
      <c r="H161" s="141"/>
      <c r="I161" s="141"/>
      <c r="J161" s="168"/>
      <c r="K161" s="149"/>
      <c r="L161" s="149"/>
      <c r="M161" s="141"/>
      <c r="N161" s="141"/>
      <c r="O161" s="141"/>
      <c r="P161" s="141"/>
      <c r="Q161" s="155"/>
      <c r="R161" s="156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62"/>
      <c r="AI161" s="141"/>
      <c r="AJ161" s="141"/>
    </row>
    <row r="162" spans="1:37" ht="49.5" hidden="1" customHeight="1" x14ac:dyDescent="0.45">
      <c r="A162" s="163">
        <v>1</v>
      </c>
      <c r="B162" s="19">
        <v>1</v>
      </c>
      <c r="C162" s="145" t="s">
        <v>231</v>
      </c>
      <c r="D162" s="19" t="s">
        <v>381</v>
      </c>
      <c r="E162" s="146" t="s">
        <v>382</v>
      </c>
      <c r="F162" s="19" t="s">
        <v>383</v>
      </c>
      <c r="G162" s="19" t="s">
        <v>392</v>
      </c>
      <c r="H162" s="19">
        <v>9</v>
      </c>
      <c r="I162" s="19">
        <v>4</v>
      </c>
      <c r="J162" s="23">
        <v>7761.5</v>
      </c>
      <c r="K162" s="23"/>
      <c r="L162" s="23"/>
      <c r="M162" s="19" t="s">
        <v>428</v>
      </c>
      <c r="N162" s="19" t="s">
        <v>365</v>
      </c>
      <c r="O162" s="19" t="s">
        <v>366</v>
      </c>
      <c r="P162" s="19"/>
      <c r="Q162" s="157"/>
      <c r="R162" s="158">
        <v>4754302.4800000004</v>
      </c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61">
        <v>248000</v>
      </c>
      <c r="AD162" s="157">
        <f t="shared" si="42"/>
        <v>5002302.4800000004</v>
      </c>
      <c r="AE162" s="157">
        <f t="shared" si="43"/>
        <v>5002302.4800000004</v>
      </c>
      <c r="AF162" s="157"/>
      <c r="AG162" s="157"/>
      <c r="AH162" s="37"/>
      <c r="AI162" s="19">
        <v>2022</v>
      </c>
      <c r="AJ162" s="19">
        <v>2022</v>
      </c>
      <c r="AK162" s="130" t="s">
        <v>387</v>
      </c>
    </row>
    <row r="163" spans="1:37" s="124" customFormat="1" ht="18.75" hidden="1" customHeight="1" x14ac:dyDescent="0.45">
      <c r="A163" s="163"/>
      <c r="B163" s="141"/>
      <c r="C163" s="143"/>
      <c r="D163" s="141"/>
      <c r="E163" s="141"/>
      <c r="F163" s="141"/>
      <c r="G163" s="141"/>
      <c r="H163" s="141"/>
      <c r="I163" s="141"/>
      <c r="J163" s="168"/>
      <c r="K163" s="149"/>
      <c r="L163" s="149"/>
      <c r="M163" s="141"/>
      <c r="N163" s="141"/>
      <c r="O163" s="141"/>
      <c r="P163" s="141"/>
      <c r="Q163" s="155"/>
      <c r="R163" s="156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62"/>
      <c r="AI163" s="141"/>
      <c r="AJ163" s="141"/>
    </row>
    <row r="164" spans="1:37" ht="52.5" hidden="1" customHeight="1" x14ac:dyDescent="0.45">
      <c r="A164" s="163">
        <v>1</v>
      </c>
      <c r="B164" s="19">
        <v>1</v>
      </c>
      <c r="C164" s="145" t="s">
        <v>232</v>
      </c>
      <c r="D164" s="19" t="s">
        <v>381</v>
      </c>
      <c r="E164" s="146" t="s">
        <v>382</v>
      </c>
      <c r="F164" s="19" t="s">
        <v>383</v>
      </c>
      <c r="G164" s="19" t="s">
        <v>392</v>
      </c>
      <c r="H164" s="19">
        <v>9</v>
      </c>
      <c r="I164" s="19">
        <v>6</v>
      </c>
      <c r="J164" s="23">
        <v>11288.3</v>
      </c>
      <c r="K164" s="23"/>
      <c r="L164" s="23"/>
      <c r="M164" s="19" t="s">
        <v>429</v>
      </c>
      <c r="N164" s="19" t="s">
        <v>365</v>
      </c>
      <c r="O164" s="19" t="s">
        <v>366</v>
      </c>
      <c r="P164" s="19"/>
      <c r="Q164" s="157"/>
      <c r="R164" s="158">
        <v>7131453.7199999997</v>
      </c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61">
        <v>372000</v>
      </c>
      <c r="AD164" s="157">
        <f t="shared" si="42"/>
        <v>7503453.7199999997</v>
      </c>
      <c r="AE164" s="157">
        <f t="shared" si="43"/>
        <v>7503453.7199999997</v>
      </c>
      <c r="AF164" s="157"/>
      <c r="AG164" s="157"/>
      <c r="AH164" s="37"/>
      <c r="AI164" s="19">
        <v>2022</v>
      </c>
      <c r="AJ164" s="19">
        <v>2022</v>
      </c>
      <c r="AK164" s="130" t="s">
        <v>387</v>
      </c>
    </row>
    <row r="165" spans="1:37" s="124" customFormat="1" ht="18.75" hidden="1" customHeight="1" x14ac:dyDescent="0.45">
      <c r="A165" s="163"/>
      <c r="B165" s="141"/>
      <c r="C165" s="143"/>
      <c r="D165" s="141"/>
      <c r="E165" s="141"/>
      <c r="F165" s="141"/>
      <c r="G165" s="141"/>
      <c r="H165" s="141"/>
      <c r="I165" s="141"/>
      <c r="J165" s="168"/>
      <c r="K165" s="149"/>
      <c r="L165" s="149"/>
      <c r="M165" s="141"/>
      <c r="N165" s="141"/>
      <c r="O165" s="141"/>
      <c r="P165" s="141"/>
      <c r="Q165" s="155"/>
      <c r="R165" s="156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62"/>
      <c r="AI165" s="141"/>
      <c r="AJ165" s="141"/>
    </row>
    <row r="166" spans="1:37" ht="84.9" hidden="1" customHeight="1" x14ac:dyDescent="0.45">
      <c r="A166" s="163">
        <v>1</v>
      </c>
      <c r="B166" s="19">
        <v>256</v>
      </c>
      <c r="C166" s="138" t="s">
        <v>430</v>
      </c>
      <c r="D166" s="19"/>
      <c r="E166" s="19"/>
      <c r="F166" s="19" t="s">
        <v>376</v>
      </c>
      <c r="G166" s="19">
        <v>1972</v>
      </c>
      <c r="H166" s="19">
        <v>5</v>
      </c>
      <c r="I166" s="19">
        <v>7</v>
      </c>
      <c r="J166" s="39">
        <v>6352.7</v>
      </c>
      <c r="K166" s="23">
        <v>6286.3</v>
      </c>
      <c r="L166" s="23">
        <v>5912.3</v>
      </c>
      <c r="M166" s="19">
        <v>266</v>
      </c>
      <c r="N166" s="19" t="s">
        <v>365</v>
      </c>
      <c r="O166" s="19" t="s">
        <v>366</v>
      </c>
      <c r="P166" s="19"/>
      <c r="Q166" s="28"/>
      <c r="R166" s="37"/>
      <c r="S166" s="28"/>
      <c r="T166" s="28"/>
      <c r="U166" s="28"/>
      <c r="V166" s="28"/>
      <c r="W166" s="28"/>
      <c r="X166" s="28"/>
      <c r="Y166" s="28">
        <v>20897700.289999999</v>
      </c>
      <c r="Z166" s="28"/>
      <c r="AA166" s="28"/>
      <c r="AB166" s="28"/>
      <c r="AC166" s="28">
        <v>741812.5</v>
      </c>
      <c r="AD166" s="28">
        <f t="shared" ref="AD166:AD170" si="44">SUM(Q166:AC166)</f>
        <v>21639512.789999999</v>
      </c>
      <c r="AE166" s="28"/>
      <c r="AF166" s="28"/>
      <c r="AG166" s="28">
        <f t="shared" ref="AG166:AG169" si="45">SUM(Y166+AC166)</f>
        <v>21639512.789999999</v>
      </c>
      <c r="AH166" s="37"/>
      <c r="AI166" s="19">
        <v>2022</v>
      </c>
      <c r="AJ166" s="19">
        <v>2022</v>
      </c>
    </row>
    <row r="167" spans="1:37" s="124" customFormat="1" ht="15" hidden="1" customHeight="1" x14ac:dyDescent="0.45">
      <c r="A167" s="140"/>
      <c r="B167" s="141"/>
      <c r="C167" s="143"/>
      <c r="D167" s="141"/>
      <c r="E167" s="141"/>
      <c r="F167" s="141"/>
      <c r="G167" s="141"/>
      <c r="H167" s="141"/>
      <c r="I167" s="141"/>
      <c r="J167" s="168"/>
      <c r="K167" s="149"/>
      <c r="L167" s="149"/>
      <c r="M167" s="141"/>
      <c r="N167" s="141"/>
      <c r="O167" s="141"/>
      <c r="P167" s="141"/>
      <c r="Q167" s="155"/>
      <c r="R167" s="156"/>
      <c r="S167" s="155"/>
      <c r="T167" s="155"/>
      <c r="U167" s="155"/>
      <c r="V167" s="155"/>
      <c r="W167" s="155"/>
      <c r="X167" s="155"/>
      <c r="Y167" s="155">
        <v>20897700.289999999</v>
      </c>
      <c r="Z167" s="155"/>
      <c r="AA167" s="155"/>
      <c r="AB167" s="155"/>
      <c r="AC167" s="155">
        <v>741812.5</v>
      </c>
      <c r="AD167" s="155">
        <f t="shared" si="44"/>
        <v>21639512.789999999</v>
      </c>
      <c r="AE167" s="155"/>
      <c r="AF167" s="155"/>
      <c r="AG167" s="155">
        <f t="shared" si="45"/>
        <v>21639512.789999999</v>
      </c>
      <c r="AH167" s="156"/>
      <c r="AI167" s="141"/>
      <c r="AJ167" s="141"/>
    </row>
    <row r="168" spans="1:37" ht="84.9" hidden="1" customHeight="1" x14ac:dyDescent="0.45">
      <c r="A168" s="163">
        <v>1</v>
      </c>
      <c r="B168" s="19">
        <v>257</v>
      </c>
      <c r="C168" s="138" t="s">
        <v>431</v>
      </c>
      <c r="D168" s="19"/>
      <c r="E168" s="19"/>
      <c r="F168" s="19" t="s">
        <v>376</v>
      </c>
      <c r="G168" s="19">
        <v>1971</v>
      </c>
      <c r="H168" s="19">
        <v>5</v>
      </c>
      <c r="I168" s="19">
        <v>4</v>
      </c>
      <c r="J168" s="39">
        <v>3017.4</v>
      </c>
      <c r="K168" s="23">
        <v>2728.2</v>
      </c>
      <c r="L168" s="23">
        <v>2698</v>
      </c>
      <c r="M168" s="19">
        <v>120</v>
      </c>
      <c r="N168" s="19" t="s">
        <v>365</v>
      </c>
      <c r="O168" s="19" t="s">
        <v>366</v>
      </c>
      <c r="P168" s="19"/>
      <c r="Q168" s="28"/>
      <c r="R168" s="37"/>
      <c r="S168" s="28"/>
      <c r="T168" s="28"/>
      <c r="U168" s="28"/>
      <c r="V168" s="28"/>
      <c r="W168" s="28"/>
      <c r="X168" s="28"/>
      <c r="Y168" s="28">
        <v>9632734.5399999991</v>
      </c>
      <c r="Z168" s="28"/>
      <c r="AA168" s="28"/>
      <c r="AB168" s="28"/>
      <c r="AC168" s="28">
        <v>670285.1</v>
      </c>
      <c r="AD168" s="28">
        <f t="shared" si="44"/>
        <v>10303019.639999999</v>
      </c>
      <c r="AE168" s="28"/>
      <c r="AF168" s="28"/>
      <c r="AG168" s="28">
        <f t="shared" si="45"/>
        <v>10303019.639999999</v>
      </c>
      <c r="AH168" s="37"/>
      <c r="AI168" s="19">
        <v>2022</v>
      </c>
      <c r="AJ168" s="19">
        <v>2023</v>
      </c>
    </row>
    <row r="169" spans="1:37" s="124" customFormat="1" ht="15" hidden="1" customHeight="1" x14ac:dyDescent="0.45">
      <c r="A169" s="163"/>
      <c r="B169" s="141"/>
      <c r="C169" s="143"/>
      <c r="D169" s="141"/>
      <c r="E169" s="141"/>
      <c r="F169" s="141"/>
      <c r="G169" s="141"/>
      <c r="H169" s="141"/>
      <c r="I169" s="141"/>
      <c r="J169" s="168"/>
      <c r="K169" s="149"/>
      <c r="L169" s="149"/>
      <c r="M169" s="141"/>
      <c r="N169" s="141"/>
      <c r="O169" s="141"/>
      <c r="P169" s="141"/>
      <c r="Q169" s="155"/>
      <c r="R169" s="156"/>
      <c r="S169" s="155"/>
      <c r="T169" s="155"/>
      <c r="U169" s="155"/>
      <c r="V169" s="155"/>
      <c r="W169" s="155"/>
      <c r="X169" s="155"/>
      <c r="Y169" s="155">
        <v>9632734.5399999991</v>
      </c>
      <c r="Z169" s="155"/>
      <c r="AA169" s="155"/>
      <c r="AB169" s="155"/>
      <c r="AC169" s="155">
        <v>670285.1</v>
      </c>
      <c r="AD169" s="155">
        <f t="shared" si="44"/>
        <v>10303019.639999999</v>
      </c>
      <c r="AE169" s="155"/>
      <c r="AF169" s="155"/>
      <c r="AG169" s="155">
        <f t="shared" si="45"/>
        <v>10303019.639999999</v>
      </c>
      <c r="AH169" s="156"/>
      <c r="AI169" s="141"/>
      <c r="AJ169" s="141"/>
    </row>
    <row r="170" spans="1:37" ht="78.75" hidden="1" customHeight="1" x14ac:dyDescent="0.45">
      <c r="A170" s="163">
        <v>1</v>
      </c>
      <c r="B170" s="19">
        <v>1</v>
      </c>
      <c r="C170" s="147" t="s">
        <v>233</v>
      </c>
      <c r="D170" s="19" t="s">
        <v>381</v>
      </c>
      <c r="E170" s="146" t="s">
        <v>382</v>
      </c>
      <c r="F170" s="19" t="s">
        <v>383</v>
      </c>
      <c r="G170" s="19">
        <v>1980</v>
      </c>
      <c r="H170" s="19">
        <v>9</v>
      </c>
      <c r="I170" s="19">
        <v>1</v>
      </c>
      <c r="J170" s="23">
        <v>4452</v>
      </c>
      <c r="K170" s="23">
        <v>4452</v>
      </c>
      <c r="L170" s="23">
        <v>4452</v>
      </c>
      <c r="M170" s="19">
        <v>75</v>
      </c>
      <c r="N170" s="19"/>
      <c r="O170" s="19" t="s">
        <v>366</v>
      </c>
      <c r="P170" s="19"/>
      <c r="Q170" s="157"/>
      <c r="R170" s="159"/>
      <c r="S170" s="157"/>
      <c r="T170" s="157"/>
      <c r="U170" s="157"/>
      <c r="V170" s="157"/>
      <c r="W170" s="157"/>
      <c r="X170" s="160">
        <v>1851415.78</v>
      </c>
      <c r="Y170" s="157"/>
      <c r="Z170" s="28"/>
      <c r="AA170" s="28"/>
      <c r="AB170" s="157"/>
      <c r="AC170" s="160">
        <v>75945.039999999994</v>
      </c>
      <c r="AD170" s="28">
        <f t="shared" si="44"/>
        <v>1927360.82</v>
      </c>
      <c r="AE170" s="157"/>
      <c r="AF170" s="157"/>
      <c r="AG170" s="28">
        <f t="shared" ref="AG170:AG174" si="46">AD170</f>
        <v>1927360.82</v>
      </c>
      <c r="AH170" s="159"/>
      <c r="AI170" s="19">
        <v>2022</v>
      </c>
      <c r="AJ170" s="19">
        <v>2022</v>
      </c>
      <c r="AK170" s="130" t="s">
        <v>393</v>
      </c>
    </row>
    <row r="171" spans="1:37" s="124" customFormat="1" ht="15" hidden="1" customHeight="1" x14ac:dyDescent="0.45">
      <c r="A171" s="140"/>
      <c r="B171" s="141"/>
      <c r="C171" s="143"/>
      <c r="D171" s="141"/>
      <c r="E171" s="141"/>
      <c r="F171" s="141"/>
      <c r="G171" s="141"/>
      <c r="H171" s="141"/>
      <c r="I171" s="141"/>
      <c r="J171" s="168"/>
      <c r="K171" s="149"/>
      <c r="L171" s="149"/>
      <c r="M171" s="141"/>
      <c r="N171" s="141"/>
      <c r="O171" s="141"/>
      <c r="P171" s="141"/>
      <c r="Q171" s="155"/>
      <c r="R171" s="156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6"/>
      <c r="AI171" s="141"/>
      <c r="AJ171" s="141"/>
    </row>
    <row r="172" spans="1:37" ht="71.25" hidden="1" customHeight="1" x14ac:dyDescent="0.45">
      <c r="A172" s="163">
        <v>1</v>
      </c>
      <c r="B172" s="19">
        <v>1</v>
      </c>
      <c r="C172" s="147" t="s">
        <v>234</v>
      </c>
      <c r="D172" s="19" t="s">
        <v>381</v>
      </c>
      <c r="E172" s="146" t="s">
        <v>382</v>
      </c>
      <c r="F172" s="19" t="s">
        <v>383</v>
      </c>
      <c r="G172" s="19">
        <v>1980</v>
      </c>
      <c r="H172" s="19">
        <v>9</v>
      </c>
      <c r="I172" s="19">
        <v>2</v>
      </c>
      <c r="J172" s="23">
        <v>4417.28</v>
      </c>
      <c r="K172" s="23">
        <v>4417.28</v>
      </c>
      <c r="L172" s="23">
        <v>4417.28</v>
      </c>
      <c r="M172" s="19">
        <v>165</v>
      </c>
      <c r="N172" s="19" t="s">
        <v>365</v>
      </c>
      <c r="O172" s="19" t="s">
        <v>366</v>
      </c>
      <c r="P172" s="19"/>
      <c r="Q172" s="157"/>
      <c r="R172" s="159"/>
      <c r="S172" s="157"/>
      <c r="T172" s="157"/>
      <c r="U172" s="157"/>
      <c r="V172" s="157"/>
      <c r="W172" s="157"/>
      <c r="X172" s="160">
        <v>3702831.57</v>
      </c>
      <c r="Y172" s="157"/>
      <c r="Z172" s="28"/>
      <c r="AA172" s="28"/>
      <c r="AB172" s="157"/>
      <c r="AC172" s="160">
        <v>151890.07999999999</v>
      </c>
      <c r="AD172" s="28">
        <f t="shared" ref="AD172:AD176" si="47">SUM(Q172:AC172)</f>
        <v>3854721.65</v>
      </c>
      <c r="AE172" s="157"/>
      <c r="AF172" s="157"/>
      <c r="AG172" s="157">
        <f t="shared" si="46"/>
        <v>3854721.65</v>
      </c>
      <c r="AH172" s="159"/>
      <c r="AI172" s="19">
        <v>2022</v>
      </c>
      <c r="AJ172" s="19">
        <v>2022</v>
      </c>
      <c r="AK172" s="130" t="s">
        <v>393</v>
      </c>
    </row>
    <row r="173" spans="1:37" s="124" customFormat="1" ht="15" hidden="1" customHeight="1" x14ac:dyDescent="0.45">
      <c r="A173" s="140"/>
      <c r="B173" s="141"/>
      <c r="C173" s="143"/>
      <c r="D173" s="141"/>
      <c r="E173" s="141"/>
      <c r="F173" s="141"/>
      <c r="G173" s="141"/>
      <c r="H173" s="141"/>
      <c r="I173" s="141"/>
      <c r="J173" s="168"/>
      <c r="K173" s="149"/>
      <c r="L173" s="149"/>
      <c r="M173" s="141"/>
      <c r="N173" s="141"/>
      <c r="O173" s="141"/>
      <c r="P173" s="141"/>
      <c r="Q173" s="155"/>
      <c r="R173" s="156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6"/>
      <c r="AI173" s="141"/>
      <c r="AJ173" s="141"/>
    </row>
    <row r="174" spans="1:37" ht="66" hidden="1" customHeight="1" x14ac:dyDescent="0.45">
      <c r="A174" s="163">
        <v>1</v>
      </c>
      <c r="B174" s="19">
        <v>1</v>
      </c>
      <c r="C174" s="147" t="s">
        <v>235</v>
      </c>
      <c r="D174" s="19" t="s">
        <v>381</v>
      </c>
      <c r="E174" s="146" t="s">
        <v>382</v>
      </c>
      <c r="F174" s="19" t="s">
        <v>383</v>
      </c>
      <c r="G174" s="19">
        <v>1980</v>
      </c>
      <c r="H174" s="19">
        <v>9</v>
      </c>
      <c r="I174" s="19">
        <v>4</v>
      </c>
      <c r="J174" s="23">
        <v>8704.7999999999993</v>
      </c>
      <c r="K174" s="23">
        <v>8704.7999999999993</v>
      </c>
      <c r="L174" s="23">
        <v>8704.7999999999993</v>
      </c>
      <c r="M174" s="19">
        <v>338</v>
      </c>
      <c r="N174" s="19" t="s">
        <v>365</v>
      </c>
      <c r="O174" s="19" t="s">
        <v>366</v>
      </c>
      <c r="P174" s="19"/>
      <c r="Q174" s="157"/>
      <c r="R174" s="159"/>
      <c r="S174" s="157"/>
      <c r="T174" s="157"/>
      <c r="U174" s="157"/>
      <c r="V174" s="157"/>
      <c r="W174" s="157"/>
      <c r="X174" s="160">
        <v>7405663.1399999997</v>
      </c>
      <c r="Y174" s="157"/>
      <c r="Z174" s="28"/>
      <c r="AA174" s="28"/>
      <c r="AB174" s="157"/>
      <c r="AC174" s="160">
        <v>303780.15999999997</v>
      </c>
      <c r="AD174" s="28">
        <f t="shared" si="47"/>
        <v>7709443.2999999998</v>
      </c>
      <c r="AE174" s="157"/>
      <c r="AF174" s="157"/>
      <c r="AG174" s="157">
        <f t="shared" si="46"/>
        <v>7709443.2999999998</v>
      </c>
      <c r="AH174" s="159"/>
      <c r="AI174" s="19">
        <v>2022</v>
      </c>
      <c r="AJ174" s="19">
        <v>2022</v>
      </c>
      <c r="AK174" s="130" t="s">
        <v>393</v>
      </c>
    </row>
    <row r="175" spans="1:37" s="124" customFormat="1" ht="15" hidden="1" customHeight="1" x14ac:dyDescent="0.45">
      <c r="A175" s="140"/>
      <c r="B175" s="141"/>
      <c r="C175" s="143"/>
      <c r="D175" s="141"/>
      <c r="E175" s="141"/>
      <c r="F175" s="141"/>
      <c r="G175" s="141"/>
      <c r="H175" s="141"/>
      <c r="I175" s="141"/>
      <c r="J175" s="168"/>
      <c r="K175" s="149"/>
      <c r="L175" s="149"/>
      <c r="M175" s="141"/>
      <c r="N175" s="141"/>
      <c r="O175" s="141"/>
      <c r="P175" s="141"/>
      <c r="Q175" s="155"/>
      <c r="R175" s="156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6"/>
      <c r="AI175" s="141"/>
      <c r="AJ175" s="141"/>
    </row>
    <row r="176" spans="1:37" ht="68.25" hidden="1" customHeight="1" x14ac:dyDescent="0.45">
      <c r="A176" s="163">
        <v>1</v>
      </c>
      <c r="B176" s="19">
        <v>1</v>
      </c>
      <c r="C176" s="147" t="s">
        <v>236</v>
      </c>
      <c r="D176" s="19" t="s">
        <v>381</v>
      </c>
      <c r="E176" s="146" t="s">
        <v>382</v>
      </c>
      <c r="F176" s="19" t="s">
        <v>383</v>
      </c>
      <c r="G176" s="19">
        <v>1980</v>
      </c>
      <c r="H176" s="19">
        <v>9</v>
      </c>
      <c r="I176" s="19">
        <v>1</v>
      </c>
      <c r="J176" s="23">
        <v>3008.62</v>
      </c>
      <c r="K176" s="23">
        <v>3008.62</v>
      </c>
      <c r="L176" s="23">
        <v>3008.62</v>
      </c>
      <c r="M176" s="19">
        <v>165</v>
      </c>
      <c r="N176" s="19" t="s">
        <v>365</v>
      </c>
      <c r="O176" s="19" t="s">
        <v>366</v>
      </c>
      <c r="P176" s="19"/>
      <c r="Q176" s="157"/>
      <c r="R176" s="159"/>
      <c r="S176" s="157"/>
      <c r="T176" s="157"/>
      <c r="U176" s="157"/>
      <c r="V176" s="157"/>
      <c r="W176" s="157"/>
      <c r="X176" s="160">
        <v>1851415.78</v>
      </c>
      <c r="Y176" s="157"/>
      <c r="Z176" s="28"/>
      <c r="AA176" s="28"/>
      <c r="AB176" s="157"/>
      <c r="AC176" s="160">
        <v>75945.039999999994</v>
      </c>
      <c r="AD176" s="28">
        <f t="shared" si="47"/>
        <v>1927360.82</v>
      </c>
      <c r="AE176" s="157"/>
      <c r="AF176" s="157"/>
      <c r="AG176" s="157">
        <f t="shared" ref="AG176:AG180" si="48">AD176</f>
        <v>1927360.82</v>
      </c>
      <c r="AH176" s="159"/>
      <c r="AI176" s="19">
        <v>2022</v>
      </c>
      <c r="AJ176" s="19">
        <v>2022</v>
      </c>
      <c r="AK176" s="130" t="s">
        <v>393</v>
      </c>
    </row>
    <row r="177" spans="1:37" s="124" customFormat="1" ht="15" hidden="1" customHeight="1" x14ac:dyDescent="0.45">
      <c r="A177" s="140"/>
      <c r="B177" s="141"/>
      <c r="C177" s="143"/>
      <c r="D177" s="141"/>
      <c r="E177" s="141"/>
      <c r="F177" s="141"/>
      <c r="G177" s="141"/>
      <c r="H177" s="141"/>
      <c r="I177" s="141"/>
      <c r="J177" s="168"/>
      <c r="K177" s="149"/>
      <c r="L177" s="149"/>
      <c r="M177" s="141"/>
      <c r="N177" s="141"/>
      <c r="O177" s="141"/>
      <c r="P177" s="141"/>
      <c r="Q177" s="155"/>
      <c r="R177" s="156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6"/>
      <c r="AI177" s="141"/>
      <c r="AJ177" s="141"/>
    </row>
    <row r="178" spans="1:37" ht="74.25" hidden="1" customHeight="1" x14ac:dyDescent="0.45">
      <c r="A178" s="163">
        <v>1</v>
      </c>
      <c r="B178" s="19">
        <v>1</v>
      </c>
      <c r="C178" s="147" t="s">
        <v>237</v>
      </c>
      <c r="D178" s="19" t="s">
        <v>381</v>
      </c>
      <c r="E178" s="146" t="s">
        <v>382</v>
      </c>
      <c r="F178" s="19" t="s">
        <v>383</v>
      </c>
      <c r="G178" s="19">
        <v>1980</v>
      </c>
      <c r="H178" s="19">
        <v>9</v>
      </c>
      <c r="I178" s="19">
        <v>1</v>
      </c>
      <c r="J178" s="23">
        <v>2985.6</v>
      </c>
      <c r="K178" s="23">
        <v>2985.6</v>
      </c>
      <c r="L178" s="23">
        <v>2985.6</v>
      </c>
      <c r="M178" s="19">
        <v>160</v>
      </c>
      <c r="N178" s="19" t="s">
        <v>365</v>
      </c>
      <c r="O178" s="19" t="s">
        <v>366</v>
      </c>
      <c r="P178" s="19"/>
      <c r="Q178" s="157"/>
      <c r="R178" s="159"/>
      <c r="S178" s="157"/>
      <c r="T178" s="157"/>
      <c r="U178" s="157"/>
      <c r="V178" s="157"/>
      <c r="W178" s="157"/>
      <c r="X178" s="160">
        <v>1851415.78</v>
      </c>
      <c r="Y178" s="157"/>
      <c r="Z178" s="28"/>
      <c r="AA178" s="28"/>
      <c r="AB178" s="157"/>
      <c r="AC178" s="160">
        <v>75945.039999999994</v>
      </c>
      <c r="AD178" s="28">
        <f t="shared" ref="AD178:AD182" si="49">SUM(Q178:AC178)</f>
        <v>1927360.82</v>
      </c>
      <c r="AE178" s="157"/>
      <c r="AF178" s="157"/>
      <c r="AG178" s="157">
        <f t="shared" si="48"/>
        <v>1927360.82</v>
      </c>
      <c r="AH178" s="159"/>
      <c r="AI178" s="19">
        <v>2022</v>
      </c>
      <c r="AJ178" s="19">
        <v>2022</v>
      </c>
      <c r="AK178" s="130" t="s">
        <v>393</v>
      </c>
    </row>
    <row r="179" spans="1:37" s="124" customFormat="1" ht="15" hidden="1" customHeight="1" x14ac:dyDescent="0.45">
      <c r="A179" s="140"/>
      <c r="B179" s="141"/>
      <c r="C179" s="143"/>
      <c r="D179" s="141"/>
      <c r="E179" s="141"/>
      <c r="F179" s="141"/>
      <c r="G179" s="141"/>
      <c r="H179" s="141"/>
      <c r="I179" s="141"/>
      <c r="J179" s="168"/>
      <c r="K179" s="149"/>
      <c r="L179" s="149"/>
      <c r="M179" s="141"/>
      <c r="N179" s="141"/>
      <c r="O179" s="141"/>
      <c r="P179" s="141"/>
      <c r="Q179" s="155"/>
      <c r="R179" s="156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6"/>
      <c r="AI179" s="141"/>
      <c r="AJ179" s="141"/>
    </row>
    <row r="180" spans="1:37" ht="69.75" hidden="1" customHeight="1" x14ac:dyDescent="0.45">
      <c r="A180" s="163">
        <v>1</v>
      </c>
      <c r="B180" s="19">
        <v>1</v>
      </c>
      <c r="C180" s="147" t="s">
        <v>238</v>
      </c>
      <c r="D180" s="19" t="s">
        <v>381</v>
      </c>
      <c r="E180" s="146" t="s">
        <v>382</v>
      </c>
      <c r="F180" s="19" t="s">
        <v>383</v>
      </c>
      <c r="G180" s="19">
        <v>1980</v>
      </c>
      <c r="H180" s="19">
        <v>9</v>
      </c>
      <c r="I180" s="19">
        <v>2</v>
      </c>
      <c r="J180" s="23">
        <v>4464.79</v>
      </c>
      <c r="K180" s="23">
        <v>4464.79</v>
      </c>
      <c r="L180" s="23">
        <v>4464.79</v>
      </c>
      <c r="M180" s="19">
        <v>166</v>
      </c>
      <c r="N180" s="19" t="s">
        <v>365</v>
      </c>
      <c r="O180" s="19" t="s">
        <v>366</v>
      </c>
      <c r="P180" s="19"/>
      <c r="Q180" s="157"/>
      <c r="R180" s="159"/>
      <c r="S180" s="157"/>
      <c r="T180" s="157"/>
      <c r="U180" s="157"/>
      <c r="V180" s="157"/>
      <c r="W180" s="157"/>
      <c r="X180" s="160">
        <v>3702831.57</v>
      </c>
      <c r="Y180" s="157"/>
      <c r="Z180" s="28"/>
      <c r="AA180" s="28"/>
      <c r="AB180" s="157"/>
      <c r="AC180" s="160">
        <v>151890.07999999999</v>
      </c>
      <c r="AD180" s="28">
        <f t="shared" si="49"/>
        <v>3854721.65</v>
      </c>
      <c r="AE180" s="157"/>
      <c r="AF180" s="157"/>
      <c r="AG180" s="157">
        <f t="shared" si="48"/>
        <v>3854721.65</v>
      </c>
      <c r="AH180" s="159"/>
      <c r="AI180" s="19">
        <v>2022</v>
      </c>
      <c r="AJ180" s="19">
        <v>2022</v>
      </c>
      <c r="AK180" s="130" t="s">
        <v>393</v>
      </c>
    </row>
    <row r="181" spans="1:37" s="124" customFormat="1" ht="15" hidden="1" customHeight="1" x14ac:dyDescent="0.45">
      <c r="A181" s="140"/>
      <c r="B181" s="141"/>
      <c r="C181" s="143"/>
      <c r="D181" s="141"/>
      <c r="E181" s="141"/>
      <c r="F181" s="141"/>
      <c r="G181" s="141"/>
      <c r="H181" s="141"/>
      <c r="I181" s="141"/>
      <c r="J181" s="168"/>
      <c r="K181" s="149"/>
      <c r="L181" s="149"/>
      <c r="M181" s="141"/>
      <c r="N181" s="141"/>
      <c r="O181" s="141"/>
      <c r="P181" s="141"/>
      <c r="Q181" s="155"/>
      <c r="R181" s="156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6"/>
      <c r="AI181" s="141"/>
      <c r="AJ181" s="141"/>
    </row>
    <row r="182" spans="1:37" ht="71.25" hidden="1" customHeight="1" x14ac:dyDescent="0.45">
      <c r="A182" s="163">
        <v>1</v>
      </c>
      <c r="B182" s="19">
        <v>1</v>
      </c>
      <c r="C182" s="147" t="s">
        <v>239</v>
      </c>
      <c r="D182" s="19" t="s">
        <v>381</v>
      </c>
      <c r="E182" s="146" t="s">
        <v>382</v>
      </c>
      <c r="F182" s="19" t="s">
        <v>383</v>
      </c>
      <c r="G182" s="19">
        <v>1980</v>
      </c>
      <c r="H182" s="19">
        <v>9</v>
      </c>
      <c r="I182" s="19">
        <v>1</v>
      </c>
      <c r="J182" s="23">
        <v>2670.6</v>
      </c>
      <c r="K182" s="23">
        <v>2670.6</v>
      </c>
      <c r="L182" s="23">
        <v>2670.6</v>
      </c>
      <c r="M182" s="19">
        <v>105</v>
      </c>
      <c r="N182" s="19" t="s">
        <v>365</v>
      </c>
      <c r="O182" s="19" t="s">
        <v>366</v>
      </c>
      <c r="P182" s="19"/>
      <c r="Q182" s="157"/>
      <c r="R182" s="159"/>
      <c r="S182" s="157"/>
      <c r="T182" s="157"/>
      <c r="U182" s="157"/>
      <c r="V182" s="157"/>
      <c r="W182" s="157"/>
      <c r="X182" s="160">
        <v>1851415.78</v>
      </c>
      <c r="Y182" s="157"/>
      <c r="Z182" s="28"/>
      <c r="AA182" s="28"/>
      <c r="AB182" s="157"/>
      <c r="AC182" s="160">
        <v>75945.039999999994</v>
      </c>
      <c r="AD182" s="28">
        <f t="shared" si="49"/>
        <v>1927360.82</v>
      </c>
      <c r="AE182" s="157"/>
      <c r="AF182" s="157"/>
      <c r="AG182" s="157">
        <f t="shared" ref="AG182:AG186" si="50">AD182</f>
        <v>1927360.82</v>
      </c>
      <c r="AH182" s="159"/>
      <c r="AI182" s="19">
        <v>2022</v>
      </c>
      <c r="AJ182" s="19">
        <v>2022</v>
      </c>
      <c r="AK182" s="130" t="s">
        <v>393</v>
      </c>
    </row>
    <row r="183" spans="1:37" s="124" customFormat="1" ht="15" hidden="1" customHeight="1" x14ac:dyDescent="0.45">
      <c r="A183" s="140"/>
      <c r="B183" s="141"/>
      <c r="C183" s="143"/>
      <c r="D183" s="141"/>
      <c r="E183" s="141"/>
      <c r="F183" s="141"/>
      <c r="G183" s="141"/>
      <c r="H183" s="141"/>
      <c r="I183" s="141"/>
      <c r="J183" s="168"/>
      <c r="K183" s="149"/>
      <c r="L183" s="149"/>
      <c r="M183" s="141"/>
      <c r="N183" s="141"/>
      <c r="O183" s="141"/>
      <c r="P183" s="141"/>
      <c r="Q183" s="155"/>
      <c r="R183" s="156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6"/>
      <c r="AI183" s="141"/>
      <c r="AJ183" s="141"/>
    </row>
    <row r="184" spans="1:37" ht="63.75" hidden="1" customHeight="1" x14ac:dyDescent="0.45">
      <c r="A184" s="163">
        <v>1</v>
      </c>
      <c r="B184" s="19">
        <v>1</v>
      </c>
      <c r="C184" s="147" t="s">
        <v>240</v>
      </c>
      <c r="D184" s="19" t="s">
        <v>381</v>
      </c>
      <c r="E184" s="146" t="s">
        <v>382</v>
      </c>
      <c r="F184" s="19" t="s">
        <v>383</v>
      </c>
      <c r="G184" s="19">
        <v>1980</v>
      </c>
      <c r="H184" s="19">
        <v>9</v>
      </c>
      <c r="I184" s="19">
        <v>1</v>
      </c>
      <c r="J184" s="23">
        <v>2665.04</v>
      </c>
      <c r="K184" s="23">
        <v>2665.04</v>
      </c>
      <c r="L184" s="23">
        <v>2665.04</v>
      </c>
      <c r="M184" s="19">
        <v>103</v>
      </c>
      <c r="N184" s="19" t="s">
        <v>365</v>
      </c>
      <c r="O184" s="19" t="s">
        <v>366</v>
      </c>
      <c r="P184" s="19"/>
      <c r="Q184" s="157"/>
      <c r="R184" s="159"/>
      <c r="S184" s="157"/>
      <c r="T184" s="157"/>
      <c r="U184" s="157"/>
      <c r="V184" s="157"/>
      <c r="W184" s="157"/>
      <c r="X184" s="160">
        <v>1851415.78</v>
      </c>
      <c r="Y184" s="157"/>
      <c r="Z184" s="28"/>
      <c r="AA184" s="28"/>
      <c r="AB184" s="157"/>
      <c r="AC184" s="160">
        <v>75945.039999999994</v>
      </c>
      <c r="AD184" s="157">
        <f t="shared" ref="AD184:AD188" si="51">X184+AC184</f>
        <v>1927360.82</v>
      </c>
      <c r="AE184" s="157"/>
      <c r="AF184" s="157"/>
      <c r="AG184" s="157">
        <f t="shared" si="50"/>
        <v>1927360.82</v>
      </c>
      <c r="AH184" s="159"/>
      <c r="AI184" s="19">
        <v>2022</v>
      </c>
      <c r="AJ184" s="19">
        <v>2022</v>
      </c>
      <c r="AK184" s="130" t="s">
        <v>393</v>
      </c>
    </row>
    <row r="185" spans="1:37" s="124" customFormat="1" ht="15" hidden="1" customHeight="1" x14ac:dyDescent="0.45">
      <c r="A185" s="140"/>
      <c r="B185" s="141"/>
      <c r="C185" s="143"/>
      <c r="D185" s="141"/>
      <c r="E185" s="141"/>
      <c r="F185" s="141"/>
      <c r="G185" s="141"/>
      <c r="H185" s="141"/>
      <c r="I185" s="141"/>
      <c r="J185" s="168"/>
      <c r="K185" s="149"/>
      <c r="L185" s="149"/>
      <c r="M185" s="141"/>
      <c r="N185" s="141"/>
      <c r="O185" s="141"/>
      <c r="P185" s="141"/>
      <c r="Q185" s="155"/>
      <c r="R185" s="156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6"/>
      <c r="AI185" s="141"/>
      <c r="AJ185" s="141"/>
    </row>
    <row r="186" spans="1:37" ht="56.25" hidden="1" customHeight="1" x14ac:dyDescent="0.45">
      <c r="A186" s="163">
        <v>1</v>
      </c>
      <c r="B186" s="19">
        <v>1</v>
      </c>
      <c r="C186" s="147" t="s">
        <v>241</v>
      </c>
      <c r="D186" s="19" t="s">
        <v>381</v>
      </c>
      <c r="E186" s="146" t="s">
        <v>382</v>
      </c>
      <c r="F186" s="19" t="s">
        <v>383</v>
      </c>
      <c r="G186" s="19">
        <v>1980</v>
      </c>
      <c r="H186" s="19">
        <v>9</v>
      </c>
      <c r="I186" s="19">
        <v>2</v>
      </c>
      <c r="J186" s="23">
        <v>4413.8</v>
      </c>
      <c r="K186" s="23">
        <v>4413.8</v>
      </c>
      <c r="L186" s="23">
        <v>4413.8</v>
      </c>
      <c r="M186" s="19">
        <v>175</v>
      </c>
      <c r="N186" s="19" t="s">
        <v>365</v>
      </c>
      <c r="O186" s="19" t="s">
        <v>366</v>
      </c>
      <c r="P186" s="19"/>
      <c r="Q186" s="157"/>
      <c r="R186" s="159"/>
      <c r="S186" s="157"/>
      <c r="T186" s="157"/>
      <c r="U186" s="157"/>
      <c r="V186" s="157"/>
      <c r="W186" s="157"/>
      <c r="X186" s="160">
        <v>3702831.57</v>
      </c>
      <c r="Y186" s="157"/>
      <c r="Z186" s="28"/>
      <c r="AA186" s="28"/>
      <c r="AB186" s="157"/>
      <c r="AC186" s="160">
        <v>151890.07999999999</v>
      </c>
      <c r="AD186" s="157">
        <f t="shared" si="51"/>
        <v>3854721.65</v>
      </c>
      <c r="AE186" s="157"/>
      <c r="AF186" s="157"/>
      <c r="AG186" s="157">
        <f t="shared" si="50"/>
        <v>3854721.65</v>
      </c>
      <c r="AH186" s="159"/>
      <c r="AI186" s="19">
        <v>2022</v>
      </c>
      <c r="AJ186" s="19">
        <v>2022</v>
      </c>
      <c r="AK186" s="130" t="s">
        <v>393</v>
      </c>
    </row>
    <row r="187" spans="1:37" s="124" customFormat="1" ht="15" hidden="1" customHeight="1" x14ac:dyDescent="0.45">
      <c r="A187" s="140"/>
      <c r="B187" s="141"/>
      <c r="C187" s="143"/>
      <c r="D187" s="141"/>
      <c r="E187" s="141"/>
      <c r="F187" s="141"/>
      <c r="G187" s="141"/>
      <c r="H187" s="141"/>
      <c r="I187" s="141"/>
      <c r="J187" s="168"/>
      <c r="K187" s="149"/>
      <c r="L187" s="149"/>
      <c r="M187" s="141"/>
      <c r="N187" s="141"/>
      <c r="O187" s="141"/>
      <c r="P187" s="141"/>
      <c r="Q187" s="155"/>
      <c r="R187" s="156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6"/>
      <c r="AI187" s="141"/>
      <c r="AJ187" s="141"/>
    </row>
    <row r="188" spans="1:37" ht="54.75" hidden="1" customHeight="1" x14ac:dyDescent="0.45">
      <c r="A188" s="163">
        <v>1</v>
      </c>
      <c r="B188" s="19">
        <v>1</v>
      </c>
      <c r="C188" s="147" t="s">
        <v>242</v>
      </c>
      <c r="D188" s="19" t="s">
        <v>381</v>
      </c>
      <c r="E188" s="146" t="s">
        <v>382</v>
      </c>
      <c r="F188" s="19" t="s">
        <v>383</v>
      </c>
      <c r="G188" s="19">
        <v>1980</v>
      </c>
      <c r="H188" s="19">
        <v>9</v>
      </c>
      <c r="I188" s="19">
        <v>4</v>
      </c>
      <c r="J188" s="23">
        <v>8621</v>
      </c>
      <c r="K188" s="23">
        <v>8621</v>
      </c>
      <c r="L188" s="23">
        <v>8621</v>
      </c>
      <c r="M188" s="19">
        <v>335</v>
      </c>
      <c r="N188" s="19" t="s">
        <v>365</v>
      </c>
      <c r="O188" s="19" t="s">
        <v>366</v>
      </c>
      <c r="P188" s="19"/>
      <c r="Q188" s="157"/>
      <c r="R188" s="159"/>
      <c r="S188" s="157"/>
      <c r="T188" s="157"/>
      <c r="U188" s="157"/>
      <c r="V188" s="157"/>
      <c r="W188" s="157"/>
      <c r="X188" s="160">
        <v>7405663.1399999997</v>
      </c>
      <c r="Y188" s="157"/>
      <c r="Z188" s="28"/>
      <c r="AA188" s="28"/>
      <c r="AB188" s="157"/>
      <c r="AC188" s="160">
        <v>303780.15999999997</v>
      </c>
      <c r="AD188" s="157">
        <f t="shared" si="51"/>
        <v>7709443.2999999998</v>
      </c>
      <c r="AE188" s="157"/>
      <c r="AF188" s="157"/>
      <c r="AG188" s="157">
        <f t="shared" ref="AG188:AG192" si="52">AD188</f>
        <v>7709443.2999999998</v>
      </c>
      <c r="AH188" s="159"/>
      <c r="AI188" s="19">
        <v>2022</v>
      </c>
      <c r="AJ188" s="19">
        <v>2022</v>
      </c>
      <c r="AK188" s="130" t="s">
        <v>393</v>
      </c>
    </row>
    <row r="189" spans="1:37" s="124" customFormat="1" ht="15" hidden="1" customHeight="1" x14ac:dyDescent="0.45">
      <c r="A189" s="140"/>
      <c r="B189" s="141"/>
      <c r="C189" s="143"/>
      <c r="D189" s="141"/>
      <c r="E189" s="141"/>
      <c r="F189" s="141"/>
      <c r="G189" s="141"/>
      <c r="H189" s="141"/>
      <c r="I189" s="141"/>
      <c r="J189" s="168"/>
      <c r="K189" s="149"/>
      <c r="L189" s="149"/>
      <c r="M189" s="141"/>
      <c r="N189" s="141"/>
      <c r="O189" s="141"/>
      <c r="P189" s="141"/>
      <c r="Q189" s="155"/>
      <c r="R189" s="156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6"/>
      <c r="AI189" s="141"/>
      <c r="AJ189" s="141"/>
    </row>
    <row r="190" spans="1:37" ht="56.25" hidden="1" customHeight="1" x14ac:dyDescent="0.45">
      <c r="A190" s="163">
        <v>1</v>
      </c>
      <c r="B190" s="19">
        <v>1</v>
      </c>
      <c r="C190" s="147" t="s">
        <v>243</v>
      </c>
      <c r="D190" s="19" t="s">
        <v>381</v>
      </c>
      <c r="E190" s="146" t="s">
        <v>382</v>
      </c>
      <c r="F190" s="19" t="s">
        <v>383</v>
      </c>
      <c r="G190" s="19">
        <v>1980</v>
      </c>
      <c r="H190" s="19">
        <v>9</v>
      </c>
      <c r="I190" s="19">
        <v>1</v>
      </c>
      <c r="J190" s="23">
        <v>2586.6999999999998</v>
      </c>
      <c r="K190" s="23">
        <v>2586.6999999999998</v>
      </c>
      <c r="L190" s="23">
        <v>2586.6999999999998</v>
      </c>
      <c r="M190" s="19">
        <v>102</v>
      </c>
      <c r="N190" s="19" t="s">
        <v>365</v>
      </c>
      <c r="O190" s="19" t="s">
        <v>366</v>
      </c>
      <c r="P190" s="19"/>
      <c r="Q190" s="157"/>
      <c r="R190" s="159"/>
      <c r="S190" s="157"/>
      <c r="T190" s="157"/>
      <c r="U190" s="157"/>
      <c r="V190" s="157"/>
      <c r="W190" s="157"/>
      <c r="X190" s="160">
        <v>1851415.78</v>
      </c>
      <c r="Y190" s="157"/>
      <c r="Z190" s="28"/>
      <c r="AA190" s="28"/>
      <c r="AB190" s="157"/>
      <c r="AC190" s="160">
        <v>75945.039999999994</v>
      </c>
      <c r="AD190" s="157">
        <f t="shared" ref="AD190:AD194" si="53">X190+AC190</f>
        <v>1927360.82</v>
      </c>
      <c r="AE190" s="157"/>
      <c r="AF190" s="157"/>
      <c r="AG190" s="157">
        <f t="shared" si="52"/>
        <v>1927360.82</v>
      </c>
      <c r="AH190" s="159"/>
      <c r="AI190" s="19">
        <v>2022</v>
      </c>
      <c r="AJ190" s="19">
        <v>2022</v>
      </c>
      <c r="AK190" s="130" t="s">
        <v>393</v>
      </c>
    </row>
    <row r="191" spans="1:37" s="124" customFormat="1" ht="15" hidden="1" customHeight="1" x14ac:dyDescent="0.45">
      <c r="A191" s="140"/>
      <c r="B191" s="141"/>
      <c r="C191" s="143"/>
      <c r="D191" s="141"/>
      <c r="E191" s="141"/>
      <c r="F191" s="141"/>
      <c r="G191" s="141"/>
      <c r="H191" s="141"/>
      <c r="I191" s="141"/>
      <c r="J191" s="168"/>
      <c r="K191" s="149"/>
      <c r="L191" s="149"/>
      <c r="M191" s="141"/>
      <c r="N191" s="141"/>
      <c r="O191" s="141"/>
      <c r="P191" s="141"/>
      <c r="Q191" s="155"/>
      <c r="R191" s="156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6"/>
      <c r="AI191" s="141"/>
      <c r="AJ191" s="141"/>
    </row>
    <row r="192" spans="1:37" ht="56.25" hidden="1" customHeight="1" x14ac:dyDescent="0.45">
      <c r="A192" s="163">
        <v>1</v>
      </c>
      <c r="B192" s="19">
        <v>1</v>
      </c>
      <c r="C192" s="147" t="s">
        <v>244</v>
      </c>
      <c r="D192" s="19" t="s">
        <v>381</v>
      </c>
      <c r="E192" s="146" t="s">
        <v>382</v>
      </c>
      <c r="F192" s="19" t="s">
        <v>383</v>
      </c>
      <c r="G192" s="19">
        <v>1980</v>
      </c>
      <c r="H192" s="19">
        <v>9</v>
      </c>
      <c r="I192" s="19">
        <v>4</v>
      </c>
      <c r="J192" s="39">
        <v>10922</v>
      </c>
      <c r="K192" s="23">
        <v>12439.4</v>
      </c>
      <c r="L192" s="23">
        <v>12439.4</v>
      </c>
      <c r="M192" s="19">
        <v>661</v>
      </c>
      <c r="N192" s="19" t="s">
        <v>365</v>
      </c>
      <c r="O192" s="19" t="s">
        <v>366</v>
      </c>
      <c r="P192" s="19"/>
      <c r="Q192" s="157"/>
      <c r="R192" s="159"/>
      <c r="S192" s="157"/>
      <c r="T192" s="157"/>
      <c r="U192" s="157"/>
      <c r="V192" s="157"/>
      <c r="W192" s="157"/>
      <c r="X192" s="160">
        <v>7405663.1399999997</v>
      </c>
      <c r="Y192" s="157"/>
      <c r="Z192" s="28"/>
      <c r="AA192" s="28"/>
      <c r="AB192" s="157"/>
      <c r="AC192" s="160">
        <v>303780.15999999997</v>
      </c>
      <c r="AD192" s="157">
        <f t="shared" si="53"/>
        <v>7709443.2999999998</v>
      </c>
      <c r="AE192" s="157"/>
      <c r="AF192" s="157"/>
      <c r="AG192" s="157">
        <f t="shared" si="52"/>
        <v>7709443.2999999998</v>
      </c>
      <c r="AH192" s="159"/>
      <c r="AI192" s="19">
        <v>2022</v>
      </c>
      <c r="AJ192" s="19">
        <v>2022</v>
      </c>
      <c r="AK192" s="130" t="s">
        <v>393</v>
      </c>
    </row>
    <row r="193" spans="1:37" s="124" customFormat="1" ht="15" hidden="1" customHeight="1" x14ac:dyDescent="0.45">
      <c r="A193" s="140"/>
      <c r="B193" s="141"/>
      <c r="C193" s="143"/>
      <c r="D193" s="141"/>
      <c r="E193" s="141"/>
      <c r="F193" s="141"/>
      <c r="G193" s="141"/>
      <c r="H193" s="141"/>
      <c r="I193" s="141"/>
      <c r="J193" s="168"/>
      <c r="K193" s="149"/>
      <c r="L193" s="149"/>
      <c r="M193" s="141"/>
      <c r="N193" s="141"/>
      <c r="O193" s="141"/>
      <c r="P193" s="141"/>
      <c r="Q193" s="155"/>
      <c r="R193" s="156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6"/>
      <c r="AI193" s="141"/>
      <c r="AJ193" s="141"/>
    </row>
    <row r="194" spans="1:37" ht="56.25" hidden="1" customHeight="1" x14ac:dyDescent="0.45">
      <c r="A194" s="163">
        <v>1</v>
      </c>
      <c r="B194" s="19">
        <v>1</v>
      </c>
      <c r="C194" s="147" t="s">
        <v>245</v>
      </c>
      <c r="D194" s="19" t="s">
        <v>381</v>
      </c>
      <c r="E194" s="146" t="s">
        <v>382</v>
      </c>
      <c r="F194" s="19" t="s">
        <v>383</v>
      </c>
      <c r="G194" s="19">
        <v>1980</v>
      </c>
      <c r="H194" s="19">
        <v>9</v>
      </c>
      <c r="I194" s="19">
        <v>1</v>
      </c>
      <c r="J194" s="23">
        <v>1847.6</v>
      </c>
      <c r="K194" s="23">
        <v>1847.6</v>
      </c>
      <c r="L194" s="23">
        <v>1847.6</v>
      </c>
      <c r="M194" s="19">
        <v>81</v>
      </c>
      <c r="N194" s="19" t="s">
        <v>365</v>
      </c>
      <c r="O194" s="19" t="s">
        <v>366</v>
      </c>
      <c r="P194" s="19"/>
      <c r="Q194" s="157"/>
      <c r="R194" s="159"/>
      <c r="S194" s="157"/>
      <c r="T194" s="157"/>
      <c r="U194" s="157"/>
      <c r="V194" s="157"/>
      <c r="W194" s="157"/>
      <c r="X194" s="160">
        <v>1851415.78</v>
      </c>
      <c r="Y194" s="157"/>
      <c r="Z194" s="28"/>
      <c r="AA194" s="28"/>
      <c r="AB194" s="157"/>
      <c r="AC194" s="160">
        <v>75945.039999999994</v>
      </c>
      <c r="AD194" s="157">
        <f t="shared" si="53"/>
        <v>1927360.82</v>
      </c>
      <c r="AE194" s="157"/>
      <c r="AF194" s="157"/>
      <c r="AG194" s="157">
        <f>AD194</f>
        <v>1927360.82</v>
      </c>
      <c r="AH194" s="159"/>
      <c r="AI194" s="19">
        <v>2022</v>
      </c>
      <c r="AJ194" s="19">
        <v>2022</v>
      </c>
      <c r="AK194" s="130" t="s">
        <v>393</v>
      </c>
    </row>
    <row r="195" spans="1:37" s="124" customFormat="1" ht="15" hidden="1" customHeight="1" x14ac:dyDescent="0.45">
      <c r="A195" s="140"/>
      <c r="B195" s="141"/>
      <c r="C195" s="143"/>
      <c r="D195" s="141"/>
      <c r="E195" s="141"/>
      <c r="F195" s="141"/>
      <c r="G195" s="141"/>
      <c r="H195" s="141"/>
      <c r="I195" s="141"/>
      <c r="J195" s="168"/>
      <c r="K195" s="149"/>
      <c r="L195" s="149"/>
      <c r="M195" s="141"/>
      <c r="N195" s="141"/>
      <c r="O195" s="141"/>
      <c r="P195" s="141"/>
      <c r="Q195" s="155"/>
      <c r="R195" s="156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6"/>
      <c r="AI195" s="141"/>
      <c r="AJ195" s="141"/>
    </row>
    <row r="196" spans="1:37" ht="56.25" hidden="1" customHeight="1" x14ac:dyDescent="0.45">
      <c r="A196" s="163">
        <v>1</v>
      </c>
      <c r="B196" s="19">
        <v>1</v>
      </c>
      <c r="C196" s="147" t="s">
        <v>246</v>
      </c>
      <c r="D196" s="19" t="s">
        <v>381</v>
      </c>
      <c r="E196" s="146" t="s">
        <v>382</v>
      </c>
      <c r="F196" s="19" t="s">
        <v>383</v>
      </c>
      <c r="G196" s="19">
        <v>1980</v>
      </c>
      <c r="H196" s="19">
        <v>9</v>
      </c>
      <c r="I196" s="19">
        <v>2</v>
      </c>
      <c r="J196" s="23">
        <v>4413.5</v>
      </c>
      <c r="K196" s="23">
        <v>4413.5</v>
      </c>
      <c r="L196" s="23">
        <v>4413.5</v>
      </c>
      <c r="M196" s="19">
        <v>170</v>
      </c>
      <c r="N196" s="19" t="s">
        <v>365</v>
      </c>
      <c r="O196" s="19" t="s">
        <v>366</v>
      </c>
      <c r="P196" s="19"/>
      <c r="Q196" s="157"/>
      <c r="R196" s="159"/>
      <c r="S196" s="157"/>
      <c r="T196" s="157"/>
      <c r="U196" s="157"/>
      <c r="V196" s="157"/>
      <c r="W196" s="157"/>
      <c r="X196" s="160">
        <v>3702831.57</v>
      </c>
      <c r="Y196" s="157"/>
      <c r="Z196" s="28"/>
      <c r="AA196" s="28"/>
      <c r="AB196" s="157"/>
      <c r="AC196" s="160">
        <v>151890.07999999999</v>
      </c>
      <c r="AD196" s="157">
        <f>X196+AC196</f>
        <v>3854721.65</v>
      </c>
      <c r="AE196" s="157"/>
      <c r="AF196" s="157"/>
      <c r="AG196" s="157">
        <f>AD196</f>
        <v>3854721.65</v>
      </c>
      <c r="AH196" s="159"/>
      <c r="AI196" s="19">
        <v>2022</v>
      </c>
      <c r="AJ196" s="19">
        <v>2022</v>
      </c>
      <c r="AK196" s="130" t="s">
        <v>393</v>
      </c>
    </row>
    <row r="197" spans="1:37" s="124" customFormat="1" ht="15" hidden="1" customHeight="1" x14ac:dyDescent="0.45">
      <c r="A197" s="140"/>
      <c r="B197" s="141"/>
      <c r="C197" s="143"/>
      <c r="D197" s="141"/>
      <c r="E197" s="141"/>
      <c r="F197" s="141"/>
      <c r="G197" s="141"/>
      <c r="H197" s="141"/>
      <c r="I197" s="141"/>
      <c r="J197" s="168"/>
      <c r="K197" s="149"/>
      <c r="L197" s="149"/>
      <c r="M197" s="141"/>
      <c r="N197" s="141"/>
      <c r="O197" s="141"/>
      <c r="P197" s="141"/>
      <c r="Q197" s="155"/>
      <c r="R197" s="156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6"/>
      <c r="AI197" s="141"/>
      <c r="AJ197" s="141"/>
    </row>
    <row r="198" spans="1:37" ht="43.5" hidden="1" customHeight="1" x14ac:dyDescent="0.45">
      <c r="A198" s="163">
        <v>1</v>
      </c>
      <c r="B198" s="19">
        <v>1</v>
      </c>
      <c r="C198" s="145" t="s">
        <v>247</v>
      </c>
      <c r="D198" s="19" t="s">
        <v>381</v>
      </c>
      <c r="E198" s="146" t="s">
        <v>382</v>
      </c>
      <c r="F198" s="19" t="s">
        <v>383</v>
      </c>
      <c r="G198" s="19" t="s">
        <v>408</v>
      </c>
      <c r="H198" s="19">
        <v>5</v>
      </c>
      <c r="I198" s="19">
        <v>8</v>
      </c>
      <c r="J198" s="23">
        <v>6302.2</v>
      </c>
      <c r="K198" s="23"/>
      <c r="L198" s="23"/>
      <c r="M198" s="19">
        <v>303</v>
      </c>
      <c r="N198" s="19" t="s">
        <v>365</v>
      </c>
      <c r="O198" s="19" t="s">
        <v>366</v>
      </c>
      <c r="P198" s="19"/>
      <c r="Q198" s="157"/>
      <c r="R198" s="158">
        <v>2377151.2400000002</v>
      </c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61">
        <v>124000</v>
      </c>
      <c r="AD198" s="157">
        <f t="shared" ref="AD198:AD202" si="54">R198+AC198</f>
        <v>2501151.2400000002</v>
      </c>
      <c r="AE198" s="157">
        <f t="shared" ref="AE198:AE202" si="55">AD198</f>
        <v>2501151.2400000002</v>
      </c>
      <c r="AF198" s="157"/>
      <c r="AG198" s="157"/>
      <c r="AH198" s="159"/>
      <c r="AI198" s="19">
        <v>2022</v>
      </c>
      <c r="AJ198" s="19">
        <v>2022</v>
      </c>
      <c r="AK198" s="130" t="s">
        <v>387</v>
      </c>
    </row>
    <row r="199" spans="1:37" s="124" customFormat="1" ht="15" hidden="1" customHeight="1" x14ac:dyDescent="0.45">
      <c r="A199" s="163"/>
      <c r="B199" s="141"/>
      <c r="C199" s="143"/>
      <c r="D199" s="141"/>
      <c r="E199" s="141"/>
      <c r="F199" s="141"/>
      <c r="G199" s="141"/>
      <c r="H199" s="141"/>
      <c r="I199" s="141"/>
      <c r="J199" s="168"/>
      <c r="K199" s="149"/>
      <c r="L199" s="149"/>
      <c r="M199" s="141"/>
      <c r="N199" s="141"/>
      <c r="O199" s="141"/>
      <c r="P199" s="141"/>
      <c r="Q199" s="155"/>
      <c r="R199" s="156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6"/>
      <c r="AI199" s="141"/>
      <c r="AJ199" s="141"/>
    </row>
    <row r="200" spans="1:37" ht="43.5" hidden="1" customHeight="1" x14ac:dyDescent="0.45">
      <c r="A200" s="163">
        <v>1</v>
      </c>
      <c r="B200" s="19">
        <v>1</v>
      </c>
      <c r="C200" s="145" t="s">
        <v>248</v>
      </c>
      <c r="D200" s="19" t="s">
        <v>381</v>
      </c>
      <c r="E200" s="146" t="s">
        <v>382</v>
      </c>
      <c r="F200" s="19" t="s">
        <v>383</v>
      </c>
      <c r="G200" s="19">
        <v>1969</v>
      </c>
      <c r="H200" s="19">
        <v>5</v>
      </c>
      <c r="I200" s="19">
        <v>6</v>
      </c>
      <c r="J200" s="23">
        <v>4454.3999999999996</v>
      </c>
      <c r="K200" s="23"/>
      <c r="L200" s="23"/>
      <c r="M200" s="19">
        <v>216</v>
      </c>
      <c r="N200" s="19" t="s">
        <v>365</v>
      </c>
      <c r="O200" s="19" t="s">
        <v>366</v>
      </c>
      <c r="P200" s="19"/>
      <c r="Q200" s="157"/>
      <c r="R200" s="158">
        <v>2377151.2400000002</v>
      </c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61">
        <v>124000</v>
      </c>
      <c r="AD200" s="157">
        <f t="shared" si="54"/>
        <v>2501151.2400000002</v>
      </c>
      <c r="AE200" s="157">
        <f t="shared" si="55"/>
        <v>2501151.2400000002</v>
      </c>
      <c r="AF200" s="157"/>
      <c r="AG200" s="157"/>
      <c r="AH200" s="159"/>
      <c r="AI200" s="19">
        <v>2022</v>
      </c>
      <c r="AJ200" s="19">
        <v>2022</v>
      </c>
      <c r="AK200" s="130" t="s">
        <v>387</v>
      </c>
    </row>
    <row r="201" spans="1:37" s="124" customFormat="1" ht="15" hidden="1" customHeight="1" x14ac:dyDescent="0.45">
      <c r="A201" s="163"/>
      <c r="B201" s="141"/>
      <c r="C201" s="143"/>
      <c r="D201" s="141"/>
      <c r="E201" s="141"/>
      <c r="F201" s="141"/>
      <c r="G201" s="141"/>
      <c r="H201" s="141"/>
      <c r="I201" s="141"/>
      <c r="J201" s="168"/>
      <c r="K201" s="149"/>
      <c r="L201" s="149"/>
      <c r="M201" s="141"/>
      <c r="N201" s="141"/>
      <c r="O201" s="141"/>
      <c r="P201" s="141"/>
      <c r="Q201" s="155"/>
      <c r="R201" s="156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6"/>
      <c r="AI201" s="141"/>
      <c r="AJ201" s="141"/>
    </row>
    <row r="202" spans="1:37" ht="43.5" hidden="1" customHeight="1" x14ac:dyDescent="0.45">
      <c r="A202" s="163">
        <v>1</v>
      </c>
      <c r="B202" s="19">
        <v>1</v>
      </c>
      <c r="C202" s="145" t="s">
        <v>249</v>
      </c>
      <c r="D202" s="19" t="s">
        <v>381</v>
      </c>
      <c r="E202" s="146" t="s">
        <v>382</v>
      </c>
      <c r="F202" s="19" t="s">
        <v>383</v>
      </c>
      <c r="G202" s="19">
        <v>1969</v>
      </c>
      <c r="H202" s="19">
        <v>5</v>
      </c>
      <c r="I202" s="19">
        <v>6</v>
      </c>
      <c r="J202" s="23">
        <v>4383.5</v>
      </c>
      <c r="K202" s="23"/>
      <c r="L202" s="23"/>
      <c r="M202" s="19">
        <v>232</v>
      </c>
      <c r="N202" s="19" t="s">
        <v>365</v>
      </c>
      <c r="O202" s="19" t="s">
        <v>366</v>
      </c>
      <c r="P202" s="19"/>
      <c r="Q202" s="157"/>
      <c r="R202" s="158">
        <v>2377151.2400000002</v>
      </c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61">
        <v>124000</v>
      </c>
      <c r="AD202" s="157">
        <f t="shared" si="54"/>
        <v>2501151.2400000002</v>
      </c>
      <c r="AE202" s="157">
        <f t="shared" si="55"/>
        <v>2501151.2400000002</v>
      </c>
      <c r="AF202" s="157"/>
      <c r="AG202" s="157"/>
      <c r="AH202" s="159"/>
      <c r="AI202" s="19">
        <v>2022</v>
      </c>
      <c r="AJ202" s="19">
        <v>2022</v>
      </c>
      <c r="AK202" s="130" t="s">
        <v>387</v>
      </c>
    </row>
    <row r="203" spans="1:37" s="124" customFormat="1" ht="15" hidden="1" customHeight="1" x14ac:dyDescent="0.45">
      <c r="A203" s="140"/>
      <c r="B203" s="141"/>
      <c r="C203" s="143"/>
      <c r="D203" s="141"/>
      <c r="E203" s="141"/>
      <c r="F203" s="141"/>
      <c r="G203" s="141"/>
      <c r="H203" s="141"/>
      <c r="I203" s="141"/>
      <c r="J203" s="168"/>
      <c r="K203" s="149"/>
      <c r="L203" s="149"/>
      <c r="M203" s="141"/>
      <c r="N203" s="141"/>
      <c r="O203" s="141"/>
      <c r="P203" s="141"/>
      <c r="Q203" s="155"/>
      <c r="R203" s="156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6"/>
      <c r="AI203" s="141"/>
      <c r="AJ203" s="141"/>
    </row>
    <row r="204" spans="1:37" ht="84.9" hidden="1" customHeight="1" x14ac:dyDescent="0.45">
      <c r="A204" s="163">
        <v>1</v>
      </c>
      <c r="B204" s="19">
        <v>258</v>
      </c>
      <c r="C204" s="138" t="s">
        <v>432</v>
      </c>
      <c r="D204" s="19" t="s">
        <v>362</v>
      </c>
      <c r="E204" s="19"/>
      <c r="F204" s="19" t="s">
        <v>376</v>
      </c>
      <c r="G204" s="19">
        <v>1966</v>
      </c>
      <c r="H204" s="19">
        <v>5</v>
      </c>
      <c r="I204" s="19">
        <v>8</v>
      </c>
      <c r="J204" s="39">
        <v>5856.5</v>
      </c>
      <c r="K204" s="23">
        <v>4056.9</v>
      </c>
      <c r="L204" s="23">
        <v>3999.6</v>
      </c>
      <c r="M204" s="19">
        <v>230</v>
      </c>
      <c r="N204" s="19" t="s">
        <v>365</v>
      </c>
      <c r="O204" s="19" t="s">
        <v>366</v>
      </c>
      <c r="P204" s="19"/>
      <c r="Q204" s="28"/>
      <c r="R204" s="37">
        <v>19917322.890000001</v>
      </c>
      <c r="S204" s="28">
        <v>3866136.66</v>
      </c>
      <c r="T204" s="28">
        <v>3823919.55</v>
      </c>
      <c r="U204" s="99">
        <v>1215410.51</v>
      </c>
      <c r="V204" s="28">
        <v>3832541.35</v>
      </c>
      <c r="W204" s="150"/>
      <c r="X204" s="28"/>
      <c r="Y204" s="28"/>
      <c r="Z204" s="28"/>
      <c r="AA204" s="28"/>
      <c r="AB204" s="28"/>
      <c r="AC204" s="28">
        <v>1457558.06</v>
      </c>
      <c r="AD204" s="99">
        <f t="shared" ref="AD204:AD206" si="56">SUM(Q204:AC204)</f>
        <v>34112889.020000003</v>
      </c>
      <c r="AE204" s="28"/>
      <c r="AF204" s="28"/>
      <c r="AG204" s="28">
        <f t="shared" ref="AG204:AG208" si="57">AD204</f>
        <v>34112889.020000003</v>
      </c>
      <c r="AH204" s="37"/>
      <c r="AI204" s="19">
        <v>2022</v>
      </c>
      <c r="AJ204" s="19">
        <v>2023</v>
      </c>
    </row>
    <row r="205" spans="1:37" s="124" customFormat="1" ht="15" hidden="1" customHeight="1" x14ac:dyDescent="0.45">
      <c r="A205" s="140"/>
      <c r="B205" s="141"/>
      <c r="C205" s="143"/>
      <c r="D205" s="141"/>
      <c r="E205" s="141"/>
      <c r="F205" s="141"/>
      <c r="G205" s="141"/>
      <c r="H205" s="141"/>
      <c r="I205" s="141"/>
      <c r="J205" s="168"/>
      <c r="K205" s="149"/>
      <c r="L205" s="149"/>
      <c r="M205" s="141"/>
      <c r="N205" s="141"/>
      <c r="O205" s="141"/>
      <c r="P205" s="141"/>
      <c r="Q205" s="155"/>
      <c r="R205" s="156">
        <v>19917322.890000001</v>
      </c>
      <c r="S205" s="155">
        <v>3866136.66</v>
      </c>
      <c r="T205" s="155">
        <v>3823919.55</v>
      </c>
      <c r="U205" s="155"/>
      <c r="V205" s="155">
        <v>3832541.35</v>
      </c>
      <c r="W205" s="152"/>
      <c r="X205" s="155"/>
      <c r="Y205" s="155"/>
      <c r="Z205" s="155"/>
      <c r="AA205" s="155"/>
      <c r="AB205" s="155"/>
      <c r="AC205" s="155">
        <v>1457558.06</v>
      </c>
      <c r="AD205" s="155">
        <f t="shared" si="56"/>
        <v>32897478.510000002</v>
      </c>
      <c r="AE205" s="155"/>
      <c r="AF205" s="155"/>
      <c r="AG205" s="155">
        <f t="shared" si="57"/>
        <v>32897478.510000002</v>
      </c>
      <c r="AH205" s="156"/>
      <c r="AI205" s="154">
        <v>2022</v>
      </c>
      <c r="AJ205" s="154">
        <v>2023</v>
      </c>
    </row>
    <row r="206" spans="1:37" ht="84.9" hidden="1" customHeight="1" x14ac:dyDescent="0.45">
      <c r="A206" s="163">
        <v>1</v>
      </c>
      <c r="B206" s="19">
        <v>259</v>
      </c>
      <c r="C206" s="138" t="s">
        <v>433</v>
      </c>
      <c r="D206" s="19" t="s">
        <v>362</v>
      </c>
      <c r="E206" s="19" t="s">
        <v>369</v>
      </c>
      <c r="F206" s="19" t="s">
        <v>370</v>
      </c>
      <c r="G206" s="19">
        <v>1955</v>
      </c>
      <c r="H206" s="19">
        <v>5</v>
      </c>
      <c r="I206" s="19">
        <v>4</v>
      </c>
      <c r="J206" s="23">
        <v>5143.3999999999996</v>
      </c>
      <c r="K206" s="23">
        <v>3438.3</v>
      </c>
      <c r="L206" s="23">
        <v>3409.3</v>
      </c>
      <c r="M206" s="19" t="s">
        <v>364</v>
      </c>
      <c r="N206" s="19" t="s">
        <v>365</v>
      </c>
      <c r="O206" s="19" t="s">
        <v>366</v>
      </c>
      <c r="P206" s="19"/>
      <c r="Q206" s="28"/>
      <c r="R206" s="37"/>
      <c r="S206" s="28"/>
      <c r="T206" s="28"/>
      <c r="U206" s="28"/>
      <c r="V206" s="28"/>
      <c r="W206" s="99">
        <v>1787495.94</v>
      </c>
      <c r="X206" s="28"/>
      <c r="Y206" s="28"/>
      <c r="Z206" s="28"/>
      <c r="AA206" s="28"/>
      <c r="AB206" s="28"/>
      <c r="AC206" s="28">
        <v>486639.82</v>
      </c>
      <c r="AD206" s="99">
        <f t="shared" si="56"/>
        <v>2274135.7599999998</v>
      </c>
      <c r="AE206" s="28"/>
      <c r="AF206" s="28"/>
      <c r="AG206" s="28">
        <f>SUM(Q206:AC206)</f>
        <v>2274135.7599999998</v>
      </c>
      <c r="AH206" s="37"/>
      <c r="AI206" s="19">
        <v>2020</v>
      </c>
      <c r="AJ206" s="19">
        <v>2022</v>
      </c>
    </row>
    <row r="207" spans="1:37" s="124" customFormat="1" ht="15" hidden="1" customHeight="1" x14ac:dyDescent="0.45">
      <c r="A207" s="140"/>
      <c r="B207" s="141"/>
      <c r="C207" s="143"/>
      <c r="D207" s="141"/>
      <c r="E207" s="141"/>
      <c r="F207" s="141"/>
      <c r="G207" s="141"/>
      <c r="H207" s="141"/>
      <c r="I207" s="141"/>
      <c r="J207" s="149"/>
      <c r="K207" s="149"/>
      <c r="L207" s="149"/>
      <c r="M207" s="141"/>
      <c r="N207" s="141"/>
      <c r="O207" s="141"/>
      <c r="P207" s="141"/>
      <c r="Q207" s="155"/>
      <c r="R207" s="156"/>
      <c r="S207" s="155"/>
      <c r="T207" s="155"/>
      <c r="U207" s="155"/>
      <c r="V207" s="155"/>
      <c r="W207" s="155">
        <v>1179961.47</v>
      </c>
      <c r="X207" s="155"/>
      <c r="Y207" s="155"/>
      <c r="Z207" s="155"/>
      <c r="AA207" s="155"/>
      <c r="AB207" s="155"/>
      <c r="AC207" s="155">
        <v>486639.82</v>
      </c>
      <c r="AD207" s="155">
        <v>1666601.29</v>
      </c>
      <c r="AE207" s="155"/>
      <c r="AF207" s="155"/>
      <c r="AG207" s="155">
        <v>1666601.29</v>
      </c>
      <c r="AH207" s="156"/>
      <c r="AI207" s="141"/>
      <c r="AJ207" s="141"/>
    </row>
    <row r="208" spans="1:37" ht="68.25" hidden="1" customHeight="1" x14ac:dyDescent="0.45">
      <c r="A208" s="163">
        <v>1</v>
      </c>
      <c r="B208" s="19">
        <v>1</v>
      </c>
      <c r="C208" s="147" t="s">
        <v>250</v>
      </c>
      <c r="D208" s="19" t="s">
        <v>381</v>
      </c>
      <c r="E208" s="146" t="s">
        <v>382</v>
      </c>
      <c r="F208" s="19" t="s">
        <v>383</v>
      </c>
      <c r="G208" s="19">
        <v>1978</v>
      </c>
      <c r="H208" s="19">
        <v>9</v>
      </c>
      <c r="I208" s="19">
        <v>3</v>
      </c>
      <c r="J208" s="23">
        <v>8434.5</v>
      </c>
      <c r="K208" s="23">
        <v>8434.5</v>
      </c>
      <c r="L208" s="23">
        <v>8434.5</v>
      </c>
      <c r="M208" s="19">
        <v>264</v>
      </c>
      <c r="N208" s="19" t="s">
        <v>365</v>
      </c>
      <c r="O208" s="19" t="s">
        <v>366</v>
      </c>
      <c r="P208" s="19"/>
      <c r="Q208" s="157"/>
      <c r="R208" s="159"/>
      <c r="S208" s="157"/>
      <c r="T208" s="157"/>
      <c r="U208" s="157"/>
      <c r="V208" s="157"/>
      <c r="W208" s="157"/>
      <c r="X208" s="160">
        <v>5554247.3499999996</v>
      </c>
      <c r="Y208" s="157"/>
      <c r="Z208" s="28"/>
      <c r="AA208" s="28"/>
      <c r="AB208" s="157"/>
      <c r="AC208" s="160">
        <v>227835.12</v>
      </c>
      <c r="AD208" s="157">
        <f t="shared" ref="AD208:AD212" si="58">X208+AC208</f>
        <v>5782082.4699999997</v>
      </c>
      <c r="AE208" s="157"/>
      <c r="AF208" s="157"/>
      <c r="AG208" s="157">
        <f t="shared" si="57"/>
        <v>5782082.4699999997</v>
      </c>
      <c r="AH208" s="159"/>
      <c r="AI208" s="19">
        <v>2022</v>
      </c>
      <c r="AJ208" s="19">
        <v>2022</v>
      </c>
      <c r="AK208" s="130" t="s">
        <v>393</v>
      </c>
    </row>
    <row r="209" spans="1:37" s="124" customFormat="1" ht="15" hidden="1" customHeight="1" x14ac:dyDescent="0.45">
      <c r="A209" s="140"/>
      <c r="B209" s="141"/>
      <c r="C209" s="143"/>
      <c r="D209" s="141"/>
      <c r="E209" s="141"/>
      <c r="F209" s="141"/>
      <c r="G209" s="141"/>
      <c r="H209" s="141"/>
      <c r="I209" s="141"/>
      <c r="J209" s="149"/>
      <c r="K209" s="149"/>
      <c r="L209" s="149"/>
      <c r="M209" s="141"/>
      <c r="N209" s="141"/>
      <c r="O209" s="141"/>
      <c r="P209" s="141"/>
      <c r="Q209" s="155"/>
      <c r="R209" s="156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6"/>
      <c r="AI209" s="141"/>
      <c r="AJ209" s="141"/>
    </row>
    <row r="210" spans="1:37" ht="54.75" hidden="1" customHeight="1" x14ac:dyDescent="0.45">
      <c r="A210" s="163">
        <v>1</v>
      </c>
      <c r="B210" s="19">
        <v>1</v>
      </c>
      <c r="C210" s="147" t="s">
        <v>251</v>
      </c>
      <c r="D210" s="19" t="s">
        <v>381</v>
      </c>
      <c r="E210" s="146" t="s">
        <v>382</v>
      </c>
      <c r="F210" s="19" t="s">
        <v>383</v>
      </c>
      <c r="G210" s="19">
        <v>1980</v>
      </c>
      <c r="H210" s="19">
        <v>9</v>
      </c>
      <c r="I210" s="19">
        <v>4</v>
      </c>
      <c r="J210" s="23">
        <v>12557.4</v>
      </c>
      <c r="K210" s="23">
        <v>12557.4</v>
      </c>
      <c r="L210" s="23">
        <v>12557.4</v>
      </c>
      <c r="M210" s="19">
        <v>505</v>
      </c>
      <c r="N210" s="19" t="s">
        <v>365</v>
      </c>
      <c r="O210" s="19" t="s">
        <v>366</v>
      </c>
      <c r="P210" s="19"/>
      <c r="Q210" s="157"/>
      <c r="R210" s="159"/>
      <c r="S210" s="157"/>
      <c r="T210" s="157"/>
      <c r="U210" s="157"/>
      <c r="V210" s="157"/>
      <c r="W210" s="157"/>
      <c r="X210" s="160">
        <v>7405663.1399999997</v>
      </c>
      <c r="Y210" s="157"/>
      <c r="Z210" s="28"/>
      <c r="AA210" s="28"/>
      <c r="AB210" s="157"/>
      <c r="AC210" s="160">
        <v>303780.15999999997</v>
      </c>
      <c r="AD210" s="157">
        <f t="shared" si="58"/>
        <v>7709443.2999999998</v>
      </c>
      <c r="AE210" s="157"/>
      <c r="AF210" s="157"/>
      <c r="AG210" s="157">
        <f t="shared" ref="AG210:AG214" si="59">AD210</f>
        <v>7709443.2999999998</v>
      </c>
      <c r="AH210" s="159"/>
      <c r="AI210" s="19">
        <v>2022</v>
      </c>
      <c r="AJ210" s="19">
        <v>2022</v>
      </c>
      <c r="AK210" s="130" t="s">
        <v>393</v>
      </c>
    </row>
    <row r="211" spans="1:37" s="124" customFormat="1" ht="15" hidden="1" customHeight="1" x14ac:dyDescent="0.45">
      <c r="A211" s="140"/>
      <c r="B211" s="141"/>
      <c r="C211" s="143"/>
      <c r="D211" s="141"/>
      <c r="E211" s="141"/>
      <c r="F211" s="141"/>
      <c r="G211" s="141"/>
      <c r="H211" s="141"/>
      <c r="I211" s="141"/>
      <c r="J211" s="149"/>
      <c r="K211" s="149"/>
      <c r="L211" s="149"/>
      <c r="M211" s="141"/>
      <c r="N211" s="141"/>
      <c r="O211" s="141"/>
      <c r="P211" s="141"/>
      <c r="Q211" s="155"/>
      <c r="R211" s="156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6"/>
      <c r="AI211" s="141"/>
      <c r="AJ211" s="141"/>
    </row>
    <row r="212" spans="1:37" ht="54.75" hidden="1" customHeight="1" x14ac:dyDescent="0.45">
      <c r="A212" s="163">
        <v>1</v>
      </c>
      <c r="B212" s="19">
        <v>1</v>
      </c>
      <c r="C212" s="147" t="s">
        <v>252</v>
      </c>
      <c r="D212" s="19" t="s">
        <v>381</v>
      </c>
      <c r="E212" s="146" t="s">
        <v>382</v>
      </c>
      <c r="F212" s="19" t="s">
        <v>383</v>
      </c>
      <c r="G212" s="19">
        <v>1980</v>
      </c>
      <c r="H212" s="19">
        <v>9</v>
      </c>
      <c r="I212" s="19">
        <v>1</v>
      </c>
      <c r="J212" s="23">
        <v>3006.6</v>
      </c>
      <c r="K212" s="23">
        <v>3006.6</v>
      </c>
      <c r="L212" s="23">
        <v>3006.6</v>
      </c>
      <c r="M212" s="19">
        <v>166</v>
      </c>
      <c r="N212" s="19" t="s">
        <v>365</v>
      </c>
      <c r="O212" s="19" t="s">
        <v>366</v>
      </c>
      <c r="P212" s="19"/>
      <c r="Q212" s="157"/>
      <c r="R212" s="159"/>
      <c r="S212" s="157"/>
      <c r="T212" s="157"/>
      <c r="U212" s="157"/>
      <c r="V212" s="157"/>
      <c r="W212" s="157"/>
      <c r="X212" s="160">
        <v>1851415.78</v>
      </c>
      <c r="Y212" s="157"/>
      <c r="Z212" s="28"/>
      <c r="AA212" s="28"/>
      <c r="AB212" s="157"/>
      <c r="AC212" s="160">
        <v>75945.039999999994</v>
      </c>
      <c r="AD212" s="157">
        <f t="shared" si="58"/>
        <v>1927360.82</v>
      </c>
      <c r="AE212" s="157"/>
      <c r="AF212" s="157"/>
      <c r="AG212" s="157">
        <f t="shared" si="59"/>
        <v>1927360.82</v>
      </c>
      <c r="AH212" s="159"/>
      <c r="AI212" s="19">
        <v>2022</v>
      </c>
      <c r="AJ212" s="19">
        <v>2022</v>
      </c>
      <c r="AK212" s="130" t="s">
        <v>393</v>
      </c>
    </row>
    <row r="213" spans="1:37" s="124" customFormat="1" ht="15" hidden="1" customHeight="1" x14ac:dyDescent="0.45">
      <c r="A213" s="140"/>
      <c r="B213" s="141"/>
      <c r="C213" s="143"/>
      <c r="D213" s="141"/>
      <c r="E213" s="141"/>
      <c r="F213" s="141"/>
      <c r="G213" s="141"/>
      <c r="H213" s="141"/>
      <c r="I213" s="141"/>
      <c r="J213" s="149"/>
      <c r="K213" s="149"/>
      <c r="L213" s="149"/>
      <c r="M213" s="141"/>
      <c r="N213" s="141"/>
      <c r="O213" s="141"/>
      <c r="P213" s="141"/>
      <c r="Q213" s="155"/>
      <c r="R213" s="156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6"/>
      <c r="AI213" s="141"/>
      <c r="AJ213" s="141"/>
    </row>
    <row r="214" spans="1:37" ht="54.75" hidden="1" customHeight="1" x14ac:dyDescent="0.45">
      <c r="A214" s="163">
        <v>1</v>
      </c>
      <c r="B214" s="19">
        <v>1</v>
      </c>
      <c r="C214" s="147" t="s">
        <v>253</v>
      </c>
      <c r="D214" s="19" t="s">
        <v>381</v>
      </c>
      <c r="E214" s="146" t="s">
        <v>382</v>
      </c>
      <c r="F214" s="19" t="s">
        <v>383</v>
      </c>
      <c r="G214" s="19">
        <v>1981</v>
      </c>
      <c r="H214" s="19">
        <v>9</v>
      </c>
      <c r="I214" s="19">
        <v>1</v>
      </c>
      <c r="J214" s="23">
        <v>2081.1</v>
      </c>
      <c r="K214" s="23">
        <v>2081.1</v>
      </c>
      <c r="L214" s="23">
        <v>2081.1</v>
      </c>
      <c r="M214" s="19">
        <v>88</v>
      </c>
      <c r="N214" s="19" t="s">
        <v>365</v>
      </c>
      <c r="O214" s="19" t="s">
        <v>366</v>
      </c>
      <c r="P214" s="19"/>
      <c r="Q214" s="157"/>
      <c r="R214" s="159"/>
      <c r="S214" s="157"/>
      <c r="T214" s="157"/>
      <c r="U214" s="157"/>
      <c r="V214" s="157"/>
      <c r="W214" s="157"/>
      <c r="X214" s="160">
        <v>1851415.78</v>
      </c>
      <c r="Y214" s="157"/>
      <c r="Z214" s="28"/>
      <c r="AA214" s="28"/>
      <c r="AB214" s="157"/>
      <c r="AC214" s="160">
        <v>75945.039999999994</v>
      </c>
      <c r="AD214" s="157">
        <f t="shared" ref="AD214:AD218" si="60">X214+AC214</f>
        <v>1927360.82</v>
      </c>
      <c r="AE214" s="157"/>
      <c r="AF214" s="157"/>
      <c r="AG214" s="157">
        <f t="shared" si="59"/>
        <v>1927360.82</v>
      </c>
      <c r="AH214" s="159"/>
      <c r="AI214" s="19">
        <v>2022</v>
      </c>
      <c r="AJ214" s="19">
        <v>2022</v>
      </c>
      <c r="AK214" s="130" t="s">
        <v>393</v>
      </c>
    </row>
    <row r="215" spans="1:37" s="124" customFormat="1" ht="15" hidden="1" customHeight="1" x14ac:dyDescent="0.45">
      <c r="A215" s="140"/>
      <c r="B215" s="141"/>
      <c r="C215" s="143"/>
      <c r="D215" s="141"/>
      <c r="E215" s="141"/>
      <c r="F215" s="141"/>
      <c r="G215" s="141"/>
      <c r="H215" s="141"/>
      <c r="I215" s="141"/>
      <c r="J215" s="149"/>
      <c r="K215" s="149"/>
      <c r="L215" s="149"/>
      <c r="M215" s="141"/>
      <c r="N215" s="141"/>
      <c r="O215" s="141"/>
      <c r="P215" s="141"/>
      <c r="Q215" s="155"/>
      <c r="R215" s="156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6"/>
      <c r="AI215" s="141"/>
      <c r="AJ215" s="141"/>
    </row>
    <row r="216" spans="1:37" ht="54.75" hidden="1" customHeight="1" x14ac:dyDescent="0.45">
      <c r="A216" s="163">
        <v>1</v>
      </c>
      <c r="B216" s="19">
        <v>1</v>
      </c>
      <c r="C216" s="147" t="s">
        <v>254</v>
      </c>
      <c r="D216" s="19" t="s">
        <v>381</v>
      </c>
      <c r="E216" s="146" t="s">
        <v>382</v>
      </c>
      <c r="F216" s="19" t="s">
        <v>383</v>
      </c>
      <c r="G216" s="19">
        <v>1980</v>
      </c>
      <c r="H216" s="19">
        <v>9</v>
      </c>
      <c r="I216" s="19">
        <v>2</v>
      </c>
      <c r="J216" s="23">
        <v>4425.2</v>
      </c>
      <c r="K216" s="23">
        <v>4425.2</v>
      </c>
      <c r="L216" s="23">
        <v>4425.2</v>
      </c>
      <c r="M216" s="19">
        <v>167</v>
      </c>
      <c r="N216" s="19" t="s">
        <v>365</v>
      </c>
      <c r="O216" s="19" t="s">
        <v>366</v>
      </c>
      <c r="P216" s="19"/>
      <c r="Q216" s="157"/>
      <c r="R216" s="159"/>
      <c r="S216" s="157"/>
      <c r="T216" s="157"/>
      <c r="U216" s="157"/>
      <c r="V216" s="157"/>
      <c r="W216" s="157"/>
      <c r="X216" s="160">
        <v>3702831.57</v>
      </c>
      <c r="Y216" s="157"/>
      <c r="Z216" s="28"/>
      <c r="AA216" s="28"/>
      <c r="AB216" s="157"/>
      <c r="AC216" s="160">
        <v>151890.07999999999</v>
      </c>
      <c r="AD216" s="157">
        <f t="shared" si="60"/>
        <v>3854721.65</v>
      </c>
      <c r="AE216" s="157"/>
      <c r="AF216" s="157"/>
      <c r="AG216" s="157">
        <f t="shared" ref="AG216:AG220" si="61">AD216</f>
        <v>3854721.65</v>
      </c>
      <c r="AH216" s="159"/>
      <c r="AI216" s="19">
        <v>2022</v>
      </c>
      <c r="AJ216" s="19">
        <v>2022</v>
      </c>
      <c r="AK216" s="130" t="s">
        <v>393</v>
      </c>
    </row>
    <row r="217" spans="1:37" s="124" customFormat="1" ht="15" hidden="1" customHeight="1" x14ac:dyDescent="0.45">
      <c r="A217" s="140"/>
      <c r="B217" s="141"/>
      <c r="C217" s="143"/>
      <c r="D217" s="141"/>
      <c r="E217" s="141"/>
      <c r="F217" s="141"/>
      <c r="G217" s="141"/>
      <c r="H217" s="141"/>
      <c r="I217" s="141"/>
      <c r="J217" s="149"/>
      <c r="K217" s="149"/>
      <c r="L217" s="149"/>
      <c r="M217" s="141"/>
      <c r="N217" s="141"/>
      <c r="O217" s="141"/>
      <c r="P217" s="141"/>
      <c r="Q217" s="155"/>
      <c r="R217" s="156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6"/>
      <c r="AI217" s="141"/>
      <c r="AJ217" s="141"/>
    </row>
    <row r="218" spans="1:37" ht="54.75" hidden="1" customHeight="1" x14ac:dyDescent="0.45">
      <c r="A218" s="163">
        <v>1</v>
      </c>
      <c r="B218" s="19">
        <v>1</v>
      </c>
      <c r="C218" s="147" t="s">
        <v>255</v>
      </c>
      <c r="D218" s="19" t="s">
        <v>381</v>
      </c>
      <c r="E218" s="146" t="s">
        <v>382</v>
      </c>
      <c r="F218" s="19" t="s">
        <v>383</v>
      </c>
      <c r="G218" s="19">
        <v>1979</v>
      </c>
      <c r="H218" s="19">
        <v>9</v>
      </c>
      <c r="I218" s="19">
        <v>1</v>
      </c>
      <c r="J218" s="23">
        <v>2697.4</v>
      </c>
      <c r="K218" s="23">
        <v>2697.4</v>
      </c>
      <c r="L218" s="23">
        <v>2697.4</v>
      </c>
      <c r="M218" s="19">
        <v>105</v>
      </c>
      <c r="N218" s="19" t="s">
        <v>365</v>
      </c>
      <c r="O218" s="19" t="s">
        <v>366</v>
      </c>
      <c r="P218" s="19"/>
      <c r="Q218" s="157"/>
      <c r="R218" s="159"/>
      <c r="S218" s="157"/>
      <c r="T218" s="157"/>
      <c r="U218" s="157"/>
      <c r="V218" s="157"/>
      <c r="W218" s="157"/>
      <c r="X218" s="160">
        <v>1851415.78</v>
      </c>
      <c r="Y218" s="157"/>
      <c r="Z218" s="28"/>
      <c r="AA218" s="28"/>
      <c r="AB218" s="157"/>
      <c r="AC218" s="160">
        <v>75945.039999999994</v>
      </c>
      <c r="AD218" s="157">
        <f t="shared" si="60"/>
        <v>1927360.82</v>
      </c>
      <c r="AE218" s="157"/>
      <c r="AF218" s="157"/>
      <c r="AG218" s="157">
        <f t="shared" si="61"/>
        <v>1927360.82</v>
      </c>
      <c r="AH218" s="159"/>
      <c r="AI218" s="19">
        <v>2022</v>
      </c>
      <c r="AJ218" s="19">
        <v>2022</v>
      </c>
      <c r="AK218" s="130" t="s">
        <v>393</v>
      </c>
    </row>
    <row r="219" spans="1:37" s="124" customFormat="1" ht="15" hidden="1" customHeight="1" x14ac:dyDescent="0.45">
      <c r="A219" s="140"/>
      <c r="B219" s="141"/>
      <c r="C219" s="143"/>
      <c r="D219" s="141"/>
      <c r="E219" s="141"/>
      <c r="F219" s="141"/>
      <c r="G219" s="141"/>
      <c r="H219" s="141"/>
      <c r="I219" s="141"/>
      <c r="J219" s="149"/>
      <c r="K219" s="149"/>
      <c r="L219" s="149"/>
      <c r="M219" s="141"/>
      <c r="N219" s="141"/>
      <c r="O219" s="141"/>
      <c r="P219" s="141"/>
      <c r="Q219" s="155"/>
      <c r="R219" s="156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6"/>
      <c r="AI219" s="141"/>
      <c r="AJ219" s="141"/>
    </row>
    <row r="220" spans="1:37" ht="54.75" hidden="1" customHeight="1" x14ac:dyDescent="0.45">
      <c r="A220" s="163">
        <v>1</v>
      </c>
      <c r="B220" s="19">
        <v>1</v>
      </c>
      <c r="C220" s="147" t="s">
        <v>256</v>
      </c>
      <c r="D220" s="19" t="s">
        <v>381</v>
      </c>
      <c r="E220" s="146" t="s">
        <v>382</v>
      </c>
      <c r="F220" s="19" t="s">
        <v>383</v>
      </c>
      <c r="G220" s="19">
        <v>1979</v>
      </c>
      <c r="H220" s="19">
        <v>9</v>
      </c>
      <c r="I220" s="19">
        <v>2</v>
      </c>
      <c r="J220" s="23">
        <v>6128.9</v>
      </c>
      <c r="K220" s="23">
        <v>6128.9</v>
      </c>
      <c r="L220" s="23">
        <v>6128.9</v>
      </c>
      <c r="M220" s="19">
        <v>328</v>
      </c>
      <c r="N220" s="19" t="s">
        <v>365</v>
      </c>
      <c r="O220" s="19" t="s">
        <v>366</v>
      </c>
      <c r="P220" s="19"/>
      <c r="Q220" s="157"/>
      <c r="R220" s="159"/>
      <c r="S220" s="157"/>
      <c r="T220" s="157"/>
      <c r="U220" s="157"/>
      <c r="V220" s="157"/>
      <c r="W220" s="157"/>
      <c r="X220" s="160">
        <v>3702831.57</v>
      </c>
      <c r="Y220" s="157"/>
      <c r="Z220" s="28"/>
      <c r="AA220" s="28"/>
      <c r="AB220" s="157"/>
      <c r="AC220" s="160">
        <v>151890.07999999999</v>
      </c>
      <c r="AD220" s="157">
        <f t="shared" ref="AD220:AD224" si="62">X220+AC220</f>
        <v>3854721.65</v>
      </c>
      <c r="AE220" s="157"/>
      <c r="AF220" s="157"/>
      <c r="AG220" s="157">
        <f t="shared" si="61"/>
        <v>3854721.65</v>
      </c>
      <c r="AH220" s="159"/>
      <c r="AI220" s="19">
        <v>2022</v>
      </c>
      <c r="AJ220" s="19">
        <v>2022</v>
      </c>
      <c r="AK220" s="130" t="s">
        <v>393</v>
      </c>
    </row>
    <row r="221" spans="1:37" s="124" customFormat="1" ht="15" hidden="1" customHeight="1" x14ac:dyDescent="0.45">
      <c r="A221" s="140"/>
      <c r="B221" s="141"/>
      <c r="C221" s="143"/>
      <c r="D221" s="141"/>
      <c r="E221" s="141"/>
      <c r="F221" s="141"/>
      <c r="G221" s="141"/>
      <c r="H221" s="141"/>
      <c r="I221" s="141"/>
      <c r="J221" s="149"/>
      <c r="K221" s="149"/>
      <c r="L221" s="149"/>
      <c r="M221" s="141"/>
      <c r="N221" s="141"/>
      <c r="O221" s="141"/>
      <c r="P221" s="141"/>
      <c r="Q221" s="155"/>
      <c r="R221" s="156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6"/>
      <c r="AI221" s="141"/>
      <c r="AJ221" s="141"/>
    </row>
    <row r="222" spans="1:37" ht="54.75" hidden="1" customHeight="1" x14ac:dyDescent="0.45">
      <c r="A222" s="163">
        <v>1</v>
      </c>
      <c r="B222" s="19">
        <v>1</v>
      </c>
      <c r="C222" s="147" t="s">
        <v>257</v>
      </c>
      <c r="D222" s="19" t="s">
        <v>381</v>
      </c>
      <c r="E222" s="146" t="s">
        <v>382</v>
      </c>
      <c r="F222" s="19" t="s">
        <v>383</v>
      </c>
      <c r="G222" s="19">
        <v>1976</v>
      </c>
      <c r="H222" s="19">
        <v>9</v>
      </c>
      <c r="I222" s="19">
        <v>4</v>
      </c>
      <c r="J222" s="23">
        <v>9237.2999999999993</v>
      </c>
      <c r="K222" s="23">
        <v>9237.2999999999993</v>
      </c>
      <c r="L222" s="23">
        <v>9237.2999999999993</v>
      </c>
      <c r="M222" s="19">
        <v>360</v>
      </c>
      <c r="N222" s="19" t="s">
        <v>365</v>
      </c>
      <c r="O222" s="19" t="s">
        <v>366</v>
      </c>
      <c r="P222" s="19"/>
      <c r="Q222" s="157"/>
      <c r="R222" s="159"/>
      <c r="S222" s="157"/>
      <c r="T222" s="157"/>
      <c r="U222" s="157"/>
      <c r="V222" s="157"/>
      <c r="W222" s="157"/>
      <c r="X222" s="160">
        <v>7405663.1399999997</v>
      </c>
      <c r="Y222" s="157"/>
      <c r="Z222" s="28"/>
      <c r="AA222" s="28"/>
      <c r="AB222" s="157"/>
      <c r="AC222" s="160">
        <v>303780.15999999997</v>
      </c>
      <c r="AD222" s="157">
        <f t="shared" si="62"/>
        <v>7709443.2999999998</v>
      </c>
      <c r="AE222" s="157"/>
      <c r="AF222" s="157"/>
      <c r="AG222" s="157">
        <f t="shared" ref="AG222:AG226" si="63">AD222</f>
        <v>7709443.2999999998</v>
      </c>
      <c r="AH222" s="159"/>
      <c r="AI222" s="19">
        <v>2022</v>
      </c>
      <c r="AJ222" s="19">
        <v>2022</v>
      </c>
      <c r="AK222" s="130" t="s">
        <v>393</v>
      </c>
    </row>
    <row r="223" spans="1:37" s="124" customFormat="1" ht="15" hidden="1" customHeight="1" x14ac:dyDescent="0.45">
      <c r="A223" s="140"/>
      <c r="B223" s="141"/>
      <c r="C223" s="143"/>
      <c r="D223" s="141"/>
      <c r="E223" s="141"/>
      <c r="F223" s="141"/>
      <c r="G223" s="141"/>
      <c r="H223" s="141"/>
      <c r="I223" s="141"/>
      <c r="J223" s="149"/>
      <c r="K223" s="149"/>
      <c r="L223" s="149"/>
      <c r="M223" s="141"/>
      <c r="N223" s="141"/>
      <c r="O223" s="141"/>
      <c r="P223" s="141"/>
      <c r="Q223" s="155"/>
      <c r="R223" s="156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6"/>
      <c r="AI223" s="141"/>
      <c r="AJ223" s="141"/>
    </row>
    <row r="224" spans="1:37" ht="54.75" hidden="1" customHeight="1" x14ac:dyDescent="0.45">
      <c r="A224" s="163">
        <v>1</v>
      </c>
      <c r="B224" s="19">
        <v>1</v>
      </c>
      <c r="C224" s="147" t="s">
        <v>258</v>
      </c>
      <c r="D224" s="19" t="s">
        <v>381</v>
      </c>
      <c r="E224" s="146" t="s">
        <v>382</v>
      </c>
      <c r="F224" s="19" t="s">
        <v>383</v>
      </c>
      <c r="G224" s="19">
        <v>1976</v>
      </c>
      <c r="H224" s="19">
        <v>9</v>
      </c>
      <c r="I224" s="19">
        <v>4</v>
      </c>
      <c r="J224" s="23">
        <v>9332.6</v>
      </c>
      <c r="K224" s="23">
        <v>9332.6</v>
      </c>
      <c r="L224" s="23">
        <v>9332.6</v>
      </c>
      <c r="M224" s="19">
        <v>351</v>
      </c>
      <c r="N224" s="19" t="s">
        <v>365</v>
      </c>
      <c r="O224" s="19" t="s">
        <v>366</v>
      </c>
      <c r="P224" s="19"/>
      <c r="Q224" s="157"/>
      <c r="R224" s="159"/>
      <c r="S224" s="157"/>
      <c r="T224" s="157"/>
      <c r="U224" s="157"/>
      <c r="V224" s="157"/>
      <c r="W224" s="157"/>
      <c r="X224" s="160">
        <v>7405663.1399999997</v>
      </c>
      <c r="Y224" s="157"/>
      <c r="Z224" s="28"/>
      <c r="AA224" s="28"/>
      <c r="AB224" s="157"/>
      <c r="AC224" s="160">
        <v>303780.15999999997</v>
      </c>
      <c r="AD224" s="157">
        <f t="shared" si="62"/>
        <v>7709443.2999999998</v>
      </c>
      <c r="AE224" s="157"/>
      <c r="AF224" s="157"/>
      <c r="AG224" s="157">
        <f t="shared" si="63"/>
        <v>7709443.2999999998</v>
      </c>
      <c r="AH224" s="159"/>
      <c r="AI224" s="19">
        <v>2022</v>
      </c>
      <c r="AJ224" s="19">
        <v>2022</v>
      </c>
      <c r="AK224" s="130" t="s">
        <v>393</v>
      </c>
    </row>
    <row r="225" spans="1:37" s="124" customFormat="1" ht="15" hidden="1" customHeight="1" x14ac:dyDescent="0.45">
      <c r="A225" s="140"/>
      <c r="B225" s="141"/>
      <c r="C225" s="143"/>
      <c r="D225" s="141"/>
      <c r="E225" s="141"/>
      <c r="F225" s="141"/>
      <c r="G225" s="141"/>
      <c r="H225" s="141"/>
      <c r="I225" s="141"/>
      <c r="J225" s="149"/>
      <c r="K225" s="149"/>
      <c r="L225" s="149"/>
      <c r="M225" s="141"/>
      <c r="N225" s="141"/>
      <c r="O225" s="141"/>
      <c r="P225" s="141"/>
      <c r="Q225" s="155"/>
      <c r="R225" s="156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6"/>
      <c r="AI225" s="141"/>
      <c r="AJ225" s="141"/>
    </row>
    <row r="226" spans="1:37" ht="54.75" hidden="1" customHeight="1" x14ac:dyDescent="0.45">
      <c r="A226" s="163">
        <v>1</v>
      </c>
      <c r="B226" s="19">
        <v>1</v>
      </c>
      <c r="C226" s="147" t="s">
        <v>259</v>
      </c>
      <c r="D226" s="19" t="s">
        <v>381</v>
      </c>
      <c r="E226" s="146" t="s">
        <v>382</v>
      </c>
      <c r="F226" s="19" t="s">
        <v>383</v>
      </c>
      <c r="G226" s="19">
        <v>1976</v>
      </c>
      <c r="H226" s="19">
        <v>9</v>
      </c>
      <c r="I226" s="19">
        <v>2</v>
      </c>
      <c r="J226" s="23">
        <v>4761.8</v>
      </c>
      <c r="K226" s="23">
        <v>4761.8</v>
      </c>
      <c r="L226" s="23">
        <v>4761.8</v>
      </c>
      <c r="M226" s="19">
        <v>177</v>
      </c>
      <c r="N226" s="19" t="s">
        <v>365</v>
      </c>
      <c r="O226" s="19" t="s">
        <v>366</v>
      </c>
      <c r="P226" s="19"/>
      <c r="Q226" s="157"/>
      <c r="R226" s="159"/>
      <c r="S226" s="157"/>
      <c r="T226" s="157"/>
      <c r="U226" s="157"/>
      <c r="V226" s="157"/>
      <c r="W226" s="157"/>
      <c r="X226" s="160">
        <v>3702831.57</v>
      </c>
      <c r="Y226" s="157"/>
      <c r="Z226" s="28"/>
      <c r="AA226" s="28"/>
      <c r="AB226" s="157"/>
      <c r="AC226" s="160">
        <v>151890.07999999999</v>
      </c>
      <c r="AD226" s="157">
        <f t="shared" ref="AD226:AD230" si="64">X226+AC226</f>
        <v>3854721.65</v>
      </c>
      <c r="AE226" s="157"/>
      <c r="AF226" s="157"/>
      <c r="AG226" s="157">
        <f t="shared" si="63"/>
        <v>3854721.65</v>
      </c>
      <c r="AH226" s="159"/>
      <c r="AI226" s="19">
        <v>2022</v>
      </c>
      <c r="AJ226" s="19">
        <v>2022</v>
      </c>
      <c r="AK226" s="130" t="s">
        <v>393</v>
      </c>
    </row>
    <row r="227" spans="1:37" s="124" customFormat="1" ht="15" hidden="1" customHeight="1" x14ac:dyDescent="0.45">
      <c r="A227" s="140"/>
      <c r="B227" s="141"/>
      <c r="C227" s="143"/>
      <c r="D227" s="141"/>
      <c r="E227" s="141"/>
      <c r="F227" s="141"/>
      <c r="G227" s="141"/>
      <c r="H227" s="141"/>
      <c r="I227" s="141"/>
      <c r="J227" s="149"/>
      <c r="K227" s="149"/>
      <c r="L227" s="149"/>
      <c r="M227" s="141"/>
      <c r="N227" s="141"/>
      <c r="O227" s="141"/>
      <c r="P227" s="141"/>
      <c r="Q227" s="155"/>
      <c r="R227" s="156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6"/>
      <c r="AI227" s="141"/>
      <c r="AJ227" s="141"/>
    </row>
    <row r="228" spans="1:37" ht="54.75" hidden="1" customHeight="1" x14ac:dyDescent="0.45">
      <c r="A228" s="163">
        <v>1</v>
      </c>
      <c r="B228" s="19">
        <v>1</v>
      </c>
      <c r="C228" s="147" t="s">
        <v>260</v>
      </c>
      <c r="D228" s="19" t="s">
        <v>381</v>
      </c>
      <c r="E228" s="146" t="s">
        <v>382</v>
      </c>
      <c r="F228" s="19" t="s">
        <v>383</v>
      </c>
      <c r="G228" s="19">
        <v>1976</v>
      </c>
      <c r="H228" s="19">
        <v>9</v>
      </c>
      <c r="I228" s="19">
        <v>4</v>
      </c>
      <c r="J228" s="23">
        <v>9298.4</v>
      </c>
      <c r="K228" s="23">
        <v>9298.4</v>
      </c>
      <c r="L228" s="23">
        <v>9298.4</v>
      </c>
      <c r="M228" s="19">
        <v>342</v>
      </c>
      <c r="N228" s="19" t="s">
        <v>365</v>
      </c>
      <c r="O228" s="19" t="s">
        <v>366</v>
      </c>
      <c r="P228" s="19"/>
      <c r="Q228" s="157"/>
      <c r="R228" s="159"/>
      <c r="S228" s="157"/>
      <c r="T228" s="157"/>
      <c r="U228" s="157"/>
      <c r="V228" s="157"/>
      <c r="W228" s="157"/>
      <c r="X228" s="160">
        <v>7405663.1399999997</v>
      </c>
      <c r="Y228" s="157"/>
      <c r="Z228" s="28"/>
      <c r="AA228" s="28"/>
      <c r="AB228" s="157"/>
      <c r="AC228" s="160">
        <v>303780.15999999997</v>
      </c>
      <c r="AD228" s="157">
        <f t="shared" si="64"/>
        <v>7709443.2999999998</v>
      </c>
      <c r="AE228" s="157"/>
      <c r="AF228" s="157"/>
      <c r="AG228" s="157">
        <f t="shared" ref="AG228:AG232" si="65">AD228</f>
        <v>7709443.2999999998</v>
      </c>
      <c r="AH228" s="159"/>
      <c r="AI228" s="19">
        <v>2022</v>
      </c>
      <c r="AJ228" s="19">
        <v>2022</v>
      </c>
      <c r="AK228" s="130" t="s">
        <v>393</v>
      </c>
    </row>
    <row r="229" spans="1:37" s="124" customFormat="1" ht="15" hidden="1" customHeight="1" x14ac:dyDescent="0.45">
      <c r="A229" s="140"/>
      <c r="B229" s="141"/>
      <c r="C229" s="143"/>
      <c r="D229" s="141"/>
      <c r="E229" s="141"/>
      <c r="F229" s="141"/>
      <c r="G229" s="141"/>
      <c r="H229" s="141"/>
      <c r="I229" s="141"/>
      <c r="J229" s="149"/>
      <c r="K229" s="149"/>
      <c r="L229" s="149"/>
      <c r="M229" s="141"/>
      <c r="N229" s="141"/>
      <c r="O229" s="141"/>
      <c r="P229" s="141"/>
      <c r="Q229" s="155"/>
      <c r="R229" s="156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6"/>
      <c r="AI229" s="141"/>
      <c r="AJ229" s="141"/>
    </row>
    <row r="230" spans="1:37" ht="54.75" hidden="1" customHeight="1" x14ac:dyDescent="0.45">
      <c r="A230" s="163">
        <v>1</v>
      </c>
      <c r="B230" s="19">
        <v>1</v>
      </c>
      <c r="C230" s="147" t="s">
        <v>261</v>
      </c>
      <c r="D230" s="19" t="s">
        <v>381</v>
      </c>
      <c r="E230" s="146" t="s">
        <v>382</v>
      </c>
      <c r="F230" s="19" t="s">
        <v>383</v>
      </c>
      <c r="G230" s="19">
        <v>1978</v>
      </c>
      <c r="H230" s="19">
        <v>9</v>
      </c>
      <c r="I230" s="19">
        <v>3</v>
      </c>
      <c r="J230" s="23">
        <v>9148</v>
      </c>
      <c r="K230" s="23">
        <v>9148</v>
      </c>
      <c r="L230" s="23">
        <v>7845.8</v>
      </c>
      <c r="M230" s="19" t="s">
        <v>364</v>
      </c>
      <c r="N230" s="19" t="s">
        <v>365</v>
      </c>
      <c r="O230" s="19" t="s">
        <v>366</v>
      </c>
      <c r="P230" s="19"/>
      <c r="Q230" s="157"/>
      <c r="R230" s="159"/>
      <c r="S230" s="157"/>
      <c r="T230" s="157"/>
      <c r="U230" s="157"/>
      <c r="V230" s="157"/>
      <c r="W230" s="157"/>
      <c r="X230" s="160">
        <v>5554247.3499999996</v>
      </c>
      <c r="Y230" s="157"/>
      <c r="Z230" s="28"/>
      <c r="AA230" s="28"/>
      <c r="AB230" s="157"/>
      <c r="AC230" s="160">
        <v>227835.12</v>
      </c>
      <c r="AD230" s="157">
        <f t="shared" si="64"/>
        <v>5782082.4699999997</v>
      </c>
      <c r="AE230" s="157"/>
      <c r="AF230" s="157"/>
      <c r="AG230" s="157">
        <f t="shared" si="65"/>
        <v>5782082.4699999997</v>
      </c>
      <c r="AH230" s="159"/>
      <c r="AI230" s="19">
        <v>2022</v>
      </c>
      <c r="AJ230" s="19">
        <v>2022</v>
      </c>
      <c r="AK230" s="130" t="s">
        <v>393</v>
      </c>
    </row>
    <row r="231" spans="1:37" s="124" customFormat="1" ht="15" hidden="1" customHeight="1" x14ac:dyDescent="0.45">
      <c r="A231" s="140"/>
      <c r="B231" s="141"/>
      <c r="C231" s="143"/>
      <c r="D231" s="141"/>
      <c r="E231" s="141"/>
      <c r="F231" s="141"/>
      <c r="G231" s="141"/>
      <c r="H231" s="141"/>
      <c r="I231" s="141"/>
      <c r="J231" s="149"/>
      <c r="K231" s="149"/>
      <c r="L231" s="149"/>
      <c r="M231" s="141"/>
      <c r="N231" s="141"/>
      <c r="O231" s="141"/>
      <c r="P231" s="141"/>
      <c r="Q231" s="155"/>
      <c r="R231" s="156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6"/>
      <c r="AI231" s="141"/>
      <c r="AJ231" s="141"/>
    </row>
    <row r="232" spans="1:37" ht="54.75" hidden="1" customHeight="1" x14ac:dyDescent="0.45">
      <c r="A232" s="163">
        <v>1</v>
      </c>
      <c r="B232" s="19">
        <v>1</v>
      </c>
      <c r="C232" s="147" t="s">
        <v>262</v>
      </c>
      <c r="D232" s="19" t="s">
        <v>381</v>
      </c>
      <c r="E232" s="146" t="s">
        <v>382</v>
      </c>
      <c r="F232" s="19" t="s">
        <v>383</v>
      </c>
      <c r="G232" s="19">
        <v>1978</v>
      </c>
      <c r="H232" s="19">
        <v>9</v>
      </c>
      <c r="I232" s="19">
        <v>2</v>
      </c>
      <c r="J232" s="23">
        <v>3908.3</v>
      </c>
      <c r="K232" s="23">
        <v>3908.3</v>
      </c>
      <c r="L232" s="23">
        <v>3878.4</v>
      </c>
      <c r="M232" s="19" t="s">
        <v>364</v>
      </c>
      <c r="N232" s="19" t="s">
        <v>365</v>
      </c>
      <c r="O232" s="19" t="s">
        <v>366</v>
      </c>
      <c r="P232" s="19"/>
      <c r="Q232" s="157"/>
      <c r="R232" s="159"/>
      <c r="S232" s="157"/>
      <c r="T232" s="157"/>
      <c r="U232" s="157"/>
      <c r="V232" s="157"/>
      <c r="W232" s="157"/>
      <c r="X232" s="160">
        <v>3702831.57</v>
      </c>
      <c r="Y232" s="157"/>
      <c r="Z232" s="28"/>
      <c r="AA232" s="28"/>
      <c r="AB232" s="157"/>
      <c r="AC232" s="160">
        <v>151890.07999999999</v>
      </c>
      <c r="AD232" s="157">
        <f t="shared" ref="AD232:AD236" si="66">X232+AC232</f>
        <v>3854721.65</v>
      </c>
      <c r="AE232" s="157"/>
      <c r="AF232" s="157"/>
      <c r="AG232" s="157">
        <f t="shared" si="65"/>
        <v>3854721.65</v>
      </c>
      <c r="AH232" s="159"/>
      <c r="AI232" s="19">
        <v>2022</v>
      </c>
      <c r="AJ232" s="19">
        <v>2022</v>
      </c>
      <c r="AK232" s="130" t="s">
        <v>393</v>
      </c>
    </row>
    <row r="233" spans="1:37" s="124" customFormat="1" ht="15" hidden="1" customHeight="1" x14ac:dyDescent="0.45">
      <c r="A233" s="140"/>
      <c r="B233" s="141"/>
      <c r="C233" s="143"/>
      <c r="D233" s="141"/>
      <c r="E233" s="141"/>
      <c r="F233" s="141"/>
      <c r="G233" s="141"/>
      <c r="H233" s="141"/>
      <c r="I233" s="141"/>
      <c r="J233" s="149"/>
      <c r="K233" s="149"/>
      <c r="L233" s="149"/>
      <c r="M233" s="141"/>
      <c r="N233" s="141"/>
      <c r="O233" s="141"/>
      <c r="P233" s="141"/>
      <c r="Q233" s="155"/>
      <c r="R233" s="156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6"/>
      <c r="AI233" s="141"/>
      <c r="AJ233" s="141"/>
    </row>
    <row r="234" spans="1:37" ht="75.599999999999994" hidden="1" customHeight="1" x14ac:dyDescent="0.45">
      <c r="A234" s="163">
        <v>1</v>
      </c>
      <c r="B234" s="19">
        <v>1</v>
      </c>
      <c r="C234" s="147" t="s">
        <v>263</v>
      </c>
      <c r="D234" s="19" t="s">
        <v>434</v>
      </c>
      <c r="E234" s="173" t="s">
        <v>435</v>
      </c>
      <c r="F234" s="19" t="s">
        <v>383</v>
      </c>
      <c r="G234" s="19">
        <v>1979</v>
      </c>
      <c r="H234" s="19">
        <v>14</v>
      </c>
      <c r="I234" s="19">
        <v>1</v>
      </c>
      <c r="J234" s="23">
        <v>5621.8</v>
      </c>
      <c r="K234" s="23">
        <v>5621.8</v>
      </c>
      <c r="L234" s="23">
        <v>5621.8</v>
      </c>
      <c r="M234" s="19">
        <v>201</v>
      </c>
      <c r="N234" s="19" t="s">
        <v>365</v>
      </c>
      <c r="O234" s="19" t="s">
        <v>366</v>
      </c>
      <c r="P234" s="19"/>
      <c r="Q234" s="157"/>
      <c r="R234" s="159"/>
      <c r="S234" s="157"/>
      <c r="T234" s="157"/>
      <c r="U234" s="157"/>
      <c r="V234" s="157"/>
      <c r="W234" s="157"/>
      <c r="X234" s="181">
        <v>4351415.78</v>
      </c>
      <c r="Y234" s="157"/>
      <c r="Z234" s="28"/>
      <c r="AA234" s="28"/>
      <c r="AB234" s="157"/>
      <c r="AC234" s="181">
        <v>175945.04</v>
      </c>
      <c r="AD234" s="157">
        <f t="shared" si="66"/>
        <v>4527360.82</v>
      </c>
      <c r="AE234" s="157"/>
      <c r="AF234" s="157"/>
      <c r="AG234" s="157">
        <f>AD234</f>
        <v>4527360.82</v>
      </c>
      <c r="AH234" s="159"/>
      <c r="AI234" s="19">
        <v>2022</v>
      </c>
      <c r="AJ234" s="19">
        <v>2022</v>
      </c>
      <c r="AK234" s="130" t="s">
        <v>436</v>
      </c>
    </row>
    <row r="235" spans="1:37" s="124" customFormat="1" ht="15" hidden="1" customHeight="1" x14ac:dyDescent="0.45">
      <c r="A235" s="140"/>
      <c r="B235" s="141"/>
      <c r="C235" s="143"/>
      <c r="D235" s="141"/>
      <c r="E235" s="141"/>
      <c r="F235" s="141"/>
      <c r="G235" s="141"/>
      <c r="H235" s="141"/>
      <c r="I235" s="141"/>
      <c r="J235" s="149"/>
      <c r="K235" s="149"/>
      <c r="L235" s="149"/>
      <c r="M235" s="141"/>
      <c r="N235" s="141"/>
      <c r="O235" s="141"/>
      <c r="P235" s="141"/>
      <c r="Q235" s="155"/>
      <c r="R235" s="156"/>
      <c r="S235" s="155"/>
      <c r="T235" s="155"/>
      <c r="U235" s="155"/>
      <c r="V235" s="155"/>
      <c r="W235" s="155"/>
      <c r="X235" s="155">
        <v>1851415.78</v>
      </c>
      <c r="Y235" s="155"/>
      <c r="Z235" s="155"/>
      <c r="AA235" s="155"/>
      <c r="AB235" s="155"/>
      <c r="AC235" s="155">
        <v>75945.039999999994</v>
      </c>
      <c r="AD235" s="155"/>
      <c r="AE235" s="155"/>
      <c r="AF235" s="155"/>
      <c r="AG235" s="155"/>
      <c r="AH235" s="156"/>
      <c r="AI235" s="141"/>
      <c r="AJ235" s="141"/>
    </row>
    <row r="236" spans="1:37" ht="54.75" hidden="1" customHeight="1" x14ac:dyDescent="0.45">
      <c r="A236" s="163">
        <v>1</v>
      </c>
      <c r="B236" s="19">
        <v>1</v>
      </c>
      <c r="C236" s="147" t="s">
        <v>264</v>
      </c>
      <c r="D236" s="19" t="s">
        <v>434</v>
      </c>
      <c r="E236" s="173" t="s">
        <v>435</v>
      </c>
      <c r="F236" s="19" t="s">
        <v>383</v>
      </c>
      <c r="G236" s="19">
        <v>1985</v>
      </c>
      <c r="H236" s="19">
        <v>14</v>
      </c>
      <c r="I236" s="19">
        <v>1</v>
      </c>
      <c r="J236" s="23">
        <v>5567</v>
      </c>
      <c r="K236" s="23">
        <v>5567</v>
      </c>
      <c r="L236" s="23">
        <v>5567</v>
      </c>
      <c r="M236" s="19">
        <v>196</v>
      </c>
      <c r="N236" s="19" t="s">
        <v>365</v>
      </c>
      <c r="O236" s="19" t="s">
        <v>366</v>
      </c>
      <c r="P236" s="19"/>
      <c r="Q236" s="157"/>
      <c r="R236" s="159"/>
      <c r="S236" s="157"/>
      <c r="T236" s="157"/>
      <c r="U236" s="157"/>
      <c r="V236" s="157"/>
      <c r="W236" s="157"/>
      <c r="X236" s="181">
        <v>4351415.78</v>
      </c>
      <c r="Y236" s="157"/>
      <c r="Z236" s="28"/>
      <c r="AA236" s="28"/>
      <c r="AB236" s="157"/>
      <c r="AC236" s="181">
        <v>175945.04</v>
      </c>
      <c r="AD236" s="157">
        <f t="shared" si="66"/>
        <v>4527360.82</v>
      </c>
      <c r="AE236" s="157"/>
      <c r="AF236" s="157"/>
      <c r="AG236" s="157">
        <f>AD236</f>
        <v>4527360.82</v>
      </c>
      <c r="AH236" s="159"/>
      <c r="AI236" s="19">
        <v>2022</v>
      </c>
      <c r="AJ236" s="19">
        <v>2022</v>
      </c>
      <c r="AK236" s="130" t="s">
        <v>436</v>
      </c>
    </row>
    <row r="237" spans="1:37" s="124" customFormat="1" ht="15" hidden="1" customHeight="1" x14ac:dyDescent="0.45">
      <c r="A237" s="140"/>
      <c r="B237" s="141"/>
      <c r="C237" s="143"/>
      <c r="D237" s="141"/>
      <c r="E237" s="141"/>
      <c r="F237" s="141"/>
      <c r="G237" s="141"/>
      <c r="H237" s="141"/>
      <c r="I237" s="141"/>
      <c r="J237" s="149"/>
      <c r="K237" s="149"/>
      <c r="L237" s="149"/>
      <c r="M237" s="141"/>
      <c r="N237" s="141"/>
      <c r="O237" s="141"/>
      <c r="P237" s="141"/>
      <c r="Q237" s="155"/>
      <c r="R237" s="156"/>
      <c r="S237" s="155"/>
      <c r="T237" s="155"/>
      <c r="U237" s="155"/>
      <c r="V237" s="155"/>
      <c r="W237" s="155"/>
      <c r="X237" s="155">
        <v>1851415.78</v>
      </c>
      <c r="Y237" s="155"/>
      <c r="Z237" s="155"/>
      <c r="AA237" s="155"/>
      <c r="AB237" s="155"/>
      <c r="AC237" s="155">
        <v>75945.039999999994</v>
      </c>
      <c r="AD237" s="155"/>
      <c r="AE237" s="155"/>
      <c r="AF237" s="155"/>
      <c r="AG237" s="155"/>
      <c r="AH237" s="156"/>
      <c r="AI237" s="141"/>
      <c r="AJ237" s="141"/>
    </row>
    <row r="238" spans="1:37" ht="72" hidden="1" customHeight="1" x14ac:dyDescent="0.45">
      <c r="A238" s="163">
        <v>1</v>
      </c>
      <c r="B238" s="174">
        <v>266</v>
      </c>
      <c r="C238" s="175" t="s">
        <v>437</v>
      </c>
      <c r="D238" s="19" t="s">
        <v>438</v>
      </c>
      <c r="E238" s="19"/>
      <c r="F238" s="19" t="s">
        <v>376</v>
      </c>
      <c r="G238" s="19"/>
      <c r="H238" s="19"/>
      <c r="I238" s="19"/>
      <c r="J238" s="23"/>
      <c r="K238" s="23"/>
      <c r="L238" s="23"/>
      <c r="M238" s="19"/>
      <c r="N238" s="19"/>
      <c r="O238" s="19"/>
      <c r="P238" s="19"/>
      <c r="Q238" s="182">
        <v>3044590.83</v>
      </c>
      <c r="R238" s="159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85">
        <v>805361.2</v>
      </c>
      <c r="AD238" s="185">
        <f>Q238+AC238</f>
        <v>3849952.0300000003</v>
      </c>
      <c r="AE238" s="157">
        <f>AD238</f>
        <v>3849952.0300000003</v>
      </c>
      <c r="AF238" s="157"/>
      <c r="AG238" s="157"/>
      <c r="AH238" s="159"/>
      <c r="AI238" s="19">
        <v>2022</v>
      </c>
      <c r="AJ238" s="19">
        <v>2022</v>
      </c>
    </row>
    <row r="239" spans="1:37" s="125" customFormat="1" ht="15" hidden="1" customHeight="1" x14ac:dyDescent="0.45">
      <c r="A239" s="163">
        <v>1</v>
      </c>
      <c r="B239" s="176"/>
      <c r="C239" s="177"/>
      <c r="D239" s="176"/>
      <c r="E239" s="176"/>
      <c r="F239" s="176"/>
      <c r="G239" s="176"/>
      <c r="H239" s="176"/>
      <c r="I239" s="176"/>
      <c r="J239" s="180"/>
      <c r="K239" s="180"/>
      <c r="L239" s="180"/>
      <c r="M239" s="176"/>
      <c r="N239" s="176"/>
      <c r="O239" s="176"/>
      <c r="P239" s="176"/>
      <c r="Q239" s="183"/>
      <c r="R239" s="184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4"/>
      <c r="AI239" s="176"/>
      <c r="AJ239" s="176"/>
    </row>
    <row r="240" spans="1:37" ht="128.4" hidden="1" customHeight="1" x14ac:dyDescent="0.45">
      <c r="A240" s="163">
        <v>1</v>
      </c>
      <c r="B240" s="19">
        <v>260</v>
      </c>
      <c r="C240" s="138" t="s">
        <v>439</v>
      </c>
      <c r="D240" s="19"/>
      <c r="E240" s="19" t="s">
        <v>369</v>
      </c>
      <c r="F240" s="19" t="s">
        <v>370</v>
      </c>
      <c r="G240" s="19">
        <v>1949</v>
      </c>
      <c r="H240" s="19">
        <v>5</v>
      </c>
      <c r="I240" s="19">
        <v>3</v>
      </c>
      <c r="J240" s="39" t="s">
        <v>440</v>
      </c>
      <c r="K240" s="23">
        <v>2960.3</v>
      </c>
      <c r="L240" s="23" t="s">
        <v>364</v>
      </c>
      <c r="M240" s="19" t="s">
        <v>364</v>
      </c>
      <c r="N240" s="19" t="s">
        <v>365</v>
      </c>
      <c r="O240" s="19" t="s">
        <v>366</v>
      </c>
      <c r="P240" s="19"/>
      <c r="Q240" s="28"/>
      <c r="R240" s="37"/>
      <c r="S240" s="28"/>
      <c r="T240" s="28"/>
      <c r="U240" s="28"/>
      <c r="V240" s="28"/>
      <c r="W240" s="28"/>
      <c r="X240" s="28"/>
      <c r="Y240" s="28">
        <f>ROUND(3727.29*K240*1.015,2)</f>
        <v>11199405.039999999</v>
      </c>
      <c r="Z240" s="28"/>
      <c r="AA240" s="28"/>
      <c r="AB240" s="28"/>
      <c r="AC240" s="28">
        <v>559881.46</v>
      </c>
      <c r="AD240" s="28">
        <f>SUM(Q240:AC240)</f>
        <v>11759286.5</v>
      </c>
      <c r="AE240" s="41"/>
      <c r="AF240" s="28"/>
      <c r="AG240" s="28">
        <f>SUM(Q240:AC240)</f>
        <v>11759286.5</v>
      </c>
      <c r="AH240" s="37"/>
      <c r="AI240" s="19">
        <v>2020</v>
      </c>
      <c r="AJ240" s="19">
        <v>2022</v>
      </c>
    </row>
    <row r="241" spans="1:37" s="124" customFormat="1" ht="18" hidden="1" customHeight="1" x14ac:dyDescent="0.45">
      <c r="A241" s="140"/>
      <c r="B241" s="141"/>
      <c r="C241" s="143"/>
      <c r="D241" s="141"/>
      <c r="E241" s="141"/>
      <c r="F241" s="141"/>
      <c r="G241" s="141"/>
      <c r="H241" s="141"/>
      <c r="I241" s="141"/>
      <c r="J241" s="168"/>
      <c r="K241" s="149"/>
      <c r="L241" s="149"/>
      <c r="M241" s="141"/>
      <c r="N241" s="141"/>
      <c r="O241" s="141"/>
      <c r="P241" s="141"/>
      <c r="Q241" s="155"/>
      <c r="R241" s="156"/>
      <c r="S241" s="155"/>
      <c r="T241" s="155"/>
      <c r="U241" s="155"/>
      <c r="V241" s="155"/>
      <c r="W241" s="155"/>
      <c r="X241" s="155"/>
      <c r="Y241" s="155">
        <v>11199405.039999999</v>
      </c>
      <c r="Z241" s="155"/>
      <c r="AA241" s="155"/>
      <c r="AB241" s="155"/>
      <c r="AC241" s="155">
        <v>559881.46</v>
      </c>
      <c r="AD241" s="155">
        <v>11759286.5</v>
      </c>
      <c r="AE241" s="186"/>
      <c r="AF241" s="155"/>
      <c r="AG241" s="155">
        <v>11759286.5</v>
      </c>
      <c r="AH241" s="156"/>
      <c r="AI241" s="141"/>
      <c r="AJ241" s="141"/>
    </row>
    <row r="242" spans="1:37" ht="68.25" hidden="1" customHeight="1" x14ac:dyDescent="0.45">
      <c r="A242" s="163">
        <v>1</v>
      </c>
      <c r="B242" s="19">
        <v>1</v>
      </c>
      <c r="C242" s="147" t="s">
        <v>265</v>
      </c>
      <c r="D242" s="19" t="s">
        <v>381</v>
      </c>
      <c r="E242" s="146" t="s">
        <v>382</v>
      </c>
      <c r="F242" s="19" t="s">
        <v>383</v>
      </c>
      <c r="G242" s="19">
        <v>1980</v>
      </c>
      <c r="H242" s="19">
        <v>9</v>
      </c>
      <c r="I242" s="19">
        <v>2</v>
      </c>
      <c r="J242" s="39">
        <v>3859</v>
      </c>
      <c r="K242" s="23">
        <v>3841.1</v>
      </c>
      <c r="L242" s="23">
        <v>3841.1</v>
      </c>
      <c r="M242" s="19">
        <v>169</v>
      </c>
      <c r="N242" s="19" t="s">
        <v>365</v>
      </c>
      <c r="O242" s="19" t="s">
        <v>366</v>
      </c>
      <c r="P242" s="19"/>
      <c r="Q242" s="157"/>
      <c r="R242" s="159"/>
      <c r="S242" s="157"/>
      <c r="T242" s="157"/>
      <c r="U242" s="157"/>
      <c r="V242" s="157"/>
      <c r="W242" s="157"/>
      <c r="X242" s="160">
        <v>3702831.57</v>
      </c>
      <c r="Y242" s="157"/>
      <c r="Z242" s="28"/>
      <c r="AA242" s="28"/>
      <c r="AB242" s="157"/>
      <c r="AC242" s="160">
        <v>151890.07999999999</v>
      </c>
      <c r="AD242" s="157">
        <f t="shared" ref="AD242:AD246" si="67">X242+AC242</f>
        <v>3854721.65</v>
      </c>
      <c r="AE242" s="157"/>
      <c r="AF242" s="157"/>
      <c r="AG242" s="157">
        <f t="shared" ref="AG242:AG246" si="68">AD242</f>
        <v>3854721.65</v>
      </c>
      <c r="AH242" s="159"/>
      <c r="AI242" s="19">
        <v>2022</v>
      </c>
      <c r="AJ242" s="19">
        <v>2022</v>
      </c>
      <c r="AK242" s="130" t="s">
        <v>393</v>
      </c>
    </row>
    <row r="243" spans="1:37" s="124" customFormat="1" ht="22.5" hidden="1" customHeight="1" x14ac:dyDescent="0.45">
      <c r="A243" s="140"/>
      <c r="B243" s="141"/>
      <c r="C243" s="143"/>
      <c r="D243" s="141"/>
      <c r="E243" s="141"/>
      <c r="F243" s="141"/>
      <c r="G243" s="141"/>
      <c r="H243" s="141"/>
      <c r="I243" s="141"/>
      <c r="J243" s="168"/>
      <c r="K243" s="149"/>
      <c r="L243" s="149"/>
      <c r="M243" s="141"/>
      <c r="N243" s="141"/>
      <c r="O243" s="141"/>
      <c r="P243" s="141"/>
      <c r="Q243" s="155"/>
      <c r="R243" s="156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86"/>
      <c r="AF243" s="155"/>
      <c r="AG243" s="155"/>
      <c r="AH243" s="156"/>
      <c r="AI243" s="141"/>
      <c r="AJ243" s="141"/>
    </row>
    <row r="244" spans="1:37" ht="62.25" hidden="1" customHeight="1" x14ac:dyDescent="0.45">
      <c r="A244" s="163">
        <v>1</v>
      </c>
      <c r="B244" s="19">
        <v>1</v>
      </c>
      <c r="C244" s="147" t="s">
        <v>266</v>
      </c>
      <c r="D244" s="19" t="s">
        <v>381</v>
      </c>
      <c r="E244" s="146" t="s">
        <v>382</v>
      </c>
      <c r="F244" s="19" t="s">
        <v>383</v>
      </c>
      <c r="G244" s="19">
        <v>1979</v>
      </c>
      <c r="H244" s="19">
        <v>9</v>
      </c>
      <c r="I244" s="19">
        <v>2</v>
      </c>
      <c r="J244" s="23">
        <v>6513.2</v>
      </c>
      <c r="K244" s="23">
        <v>6513.2</v>
      </c>
      <c r="L244" s="23">
        <v>6513.2</v>
      </c>
      <c r="M244" s="19">
        <v>340</v>
      </c>
      <c r="N244" s="19" t="s">
        <v>365</v>
      </c>
      <c r="O244" s="19" t="s">
        <v>366</v>
      </c>
      <c r="P244" s="19"/>
      <c r="Q244" s="157"/>
      <c r="R244" s="159"/>
      <c r="S244" s="157"/>
      <c r="T244" s="157"/>
      <c r="U244" s="157"/>
      <c r="V244" s="157"/>
      <c r="W244" s="157"/>
      <c r="X244" s="160">
        <v>3702831.57</v>
      </c>
      <c r="Y244" s="157"/>
      <c r="Z244" s="28"/>
      <c r="AA244" s="28"/>
      <c r="AB244" s="157"/>
      <c r="AC244" s="160">
        <v>151890.07999999999</v>
      </c>
      <c r="AD244" s="157">
        <f t="shared" si="67"/>
        <v>3854721.65</v>
      </c>
      <c r="AE244" s="157"/>
      <c r="AF244" s="157"/>
      <c r="AG244" s="157">
        <f t="shared" si="68"/>
        <v>3854721.65</v>
      </c>
      <c r="AH244" s="159"/>
      <c r="AI244" s="19">
        <v>2022</v>
      </c>
      <c r="AJ244" s="19">
        <v>2022</v>
      </c>
      <c r="AK244" s="130" t="s">
        <v>393</v>
      </c>
    </row>
    <row r="245" spans="1:37" s="124" customFormat="1" ht="22.5" hidden="1" customHeight="1" x14ac:dyDescent="0.45">
      <c r="A245" s="140"/>
      <c r="B245" s="141"/>
      <c r="C245" s="143"/>
      <c r="D245" s="141"/>
      <c r="E245" s="141"/>
      <c r="F245" s="141"/>
      <c r="G245" s="141"/>
      <c r="H245" s="141"/>
      <c r="I245" s="141"/>
      <c r="J245" s="168"/>
      <c r="K245" s="149"/>
      <c r="L245" s="149"/>
      <c r="M245" s="141"/>
      <c r="N245" s="141"/>
      <c r="O245" s="141"/>
      <c r="P245" s="141"/>
      <c r="Q245" s="155"/>
      <c r="R245" s="156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86"/>
      <c r="AF245" s="155"/>
      <c r="AG245" s="155"/>
      <c r="AH245" s="156"/>
      <c r="AI245" s="141"/>
      <c r="AJ245" s="141"/>
    </row>
    <row r="246" spans="1:37" ht="62.25" hidden="1" customHeight="1" x14ac:dyDescent="0.45">
      <c r="A246" s="163">
        <v>1</v>
      </c>
      <c r="B246" s="19">
        <v>1</v>
      </c>
      <c r="C246" s="147" t="s">
        <v>267</v>
      </c>
      <c r="D246" s="19" t="s">
        <v>381</v>
      </c>
      <c r="E246" s="146" t="s">
        <v>382</v>
      </c>
      <c r="F246" s="19" t="s">
        <v>383</v>
      </c>
      <c r="G246" s="19">
        <v>1979</v>
      </c>
      <c r="H246" s="19">
        <v>9</v>
      </c>
      <c r="I246" s="19">
        <v>6</v>
      </c>
      <c r="J246" s="23">
        <v>19088.400000000001</v>
      </c>
      <c r="K246" s="23">
        <v>19088.400000000001</v>
      </c>
      <c r="L246" s="23">
        <v>19088.400000000001</v>
      </c>
      <c r="M246" s="19">
        <v>1035</v>
      </c>
      <c r="N246" s="19" t="s">
        <v>365</v>
      </c>
      <c r="O246" s="19" t="s">
        <v>366</v>
      </c>
      <c r="P246" s="19"/>
      <c r="Q246" s="157"/>
      <c r="R246" s="159"/>
      <c r="S246" s="157"/>
      <c r="T246" s="157"/>
      <c r="U246" s="157"/>
      <c r="V246" s="157"/>
      <c r="W246" s="157"/>
      <c r="X246" s="160">
        <v>11108494.710000001</v>
      </c>
      <c r="Y246" s="157"/>
      <c r="Z246" s="28"/>
      <c r="AA246" s="28"/>
      <c r="AB246" s="157"/>
      <c r="AC246" s="160">
        <v>455670.24</v>
      </c>
      <c r="AD246" s="157">
        <f t="shared" si="67"/>
        <v>11564164.950000001</v>
      </c>
      <c r="AE246" s="157"/>
      <c r="AF246" s="157"/>
      <c r="AG246" s="157">
        <f t="shared" si="68"/>
        <v>11564164.950000001</v>
      </c>
      <c r="AH246" s="159"/>
      <c r="AI246" s="19">
        <v>2022</v>
      </c>
      <c r="AJ246" s="19">
        <v>2022</v>
      </c>
      <c r="AK246" s="130" t="s">
        <v>393</v>
      </c>
    </row>
    <row r="247" spans="1:37" s="124" customFormat="1" ht="22.5" hidden="1" customHeight="1" x14ac:dyDescent="0.45">
      <c r="A247" s="140"/>
      <c r="B247" s="141"/>
      <c r="C247" s="143"/>
      <c r="D247" s="141"/>
      <c r="E247" s="141"/>
      <c r="F247" s="141"/>
      <c r="G247" s="141"/>
      <c r="H247" s="141"/>
      <c r="I247" s="141"/>
      <c r="J247" s="168"/>
      <c r="K247" s="149"/>
      <c r="L247" s="149"/>
      <c r="M247" s="141"/>
      <c r="N247" s="141"/>
      <c r="O247" s="141"/>
      <c r="P247" s="141"/>
      <c r="Q247" s="155"/>
      <c r="R247" s="156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86"/>
      <c r="AF247" s="155"/>
      <c r="AG247" s="155"/>
      <c r="AH247" s="156"/>
      <c r="AI247" s="141"/>
      <c r="AJ247" s="141"/>
    </row>
    <row r="248" spans="1:37" ht="84.9" hidden="1" customHeight="1" x14ac:dyDescent="0.45">
      <c r="A248" s="163">
        <v>1</v>
      </c>
      <c r="B248" s="19">
        <v>261</v>
      </c>
      <c r="C248" s="138" t="s">
        <v>441</v>
      </c>
      <c r="D248" s="178" t="s">
        <v>378</v>
      </c>
      <c r="E248" s="19" t="s">
        <v>379</v>
      </c>
      <c r="F248" s="19" t="s">
        <v>442</v>
      </c>
      <c r="G248" s="19">
        <v>1960</v>
      </c>
      <c r="H248" s="19">
        <v>2</v>
      </c>
      <c r="I248" s="19">
        <v>2</v>
      </c>
      <c r="J248" s="39" t="s">
        <v>443</v>
      </c>
      <c r="K248" s="23">
        <v>525.6</v>
      </c>
      <c r="L248" s="23" t="s">
        <v>364</v>
      </c>
      <c r="M248" s="19" t="s">
        <v>364</v>
      </c>
      <c r="N248" s="19" t="s">
        <v>371</v>
      </c>
      <c r="O248" s="19" t="s">
        <v>366</v>
      </c>
      <c r="P248" s="19"/>
      <c r="Q248" s="28"/>
      <c r="R248" s="37"/>
      <c r="S248" s="28"/>
      <c r="T248" s="28"/>
      <c r="U248" s="28"/>
      <c r="V248" s="28"/>
      <c r="W248" s="28"/>
      <c r="X248" s="28"/>
      <c r="Y248" s="28">
        <f>ROUND(8645.31*K248*1.015,2)</f>
        <v>4612134.5599999996</v>
      </c>
      <c r="Z248" s="28"/>
      <c r="AA248" s="28"/>
      <c r="AB248" s="28"/>
      <c r="AC248" s="28">
        <v>157120.85</v>
      </c>
      <c r="AD248" s="28">
        <f>SUM(Q248:AC248)</f>
        <v>4769255.4099999992</v>
      </c>
      <c r="AE248" s="28"/>
      <c r="AF248" s="28"/>
      <c r="AG248" s="28">
        <f>SUM(Q248:AC248)</f>
        <v>4769255.4099999992</v>
      </c>
      <c r="AH248" s="37"/>
      <c r="AI248" s="19">
        <v>2020</v>
      </c>
      <c r="AJ248" s="19">
        <v>2022</v>
      </c>
    </row>
    <row r="249" spans="1:37" s="124" customFormat="1" ht="15" hidden="1" customHeight="1" x14ac:dyDescent="0.45">
      <c r="A249" s="140"/>
      <c r="B249" s="141"/>
      <c r="C249" s="143"/>
      <c r="D249" s="141"/>
      <c r="E249" s="141"/>
      <c r="F249" s="141"/>
      <c r="G249" s="141"/>
      <c r="H249" s="141"/>
      <c r="I249" s="141"/>
      <c r="J249" s="168"/>
      <c r="K249" s="149"/>
      <c r="L249" s="149"/>
      <c r="M249" s="141"/>
      <c r="N249" s="141"/>
      <c r="O249" s="141"/>
      <c r="P249" s="141"/>
      <c r="Q249" s="155"/>
      <c r="R249" s="156"/>
      <c r="S249" s="155"/>
      <c r="T249" s="155"/>
      <c r="U249" s="155"/>
      <c r="V249" s="155"/>
      <c r="W249" s="155"/>
      <c r="X249" s="155"/>
      <c r="Y249" s="155">
        <v>4612134.5599999996</v>
      </c>
      <c r="Z249" s="155"/>
      <c r="AA249" s="155"/>
      <c r="AB249" s="155"/>
      <c r="AC249" s="155">
        <v>157120.85</v>
      </c>
      <c r="AD249" s="155">
        <v>4769255.41</v>
      </c>
      <c r="AE249" s="155"/>
      <c r="AF249" s="155"/>
      <c r="AG249" s="155">
        <v>4769255.41</v>
      </c>
      <c r="AH249" s="156"/>
      <c r="AI249" s="141"/>
      <c r="AJ249" s="141"/>
    </row>
    <row r="250" spans="1:37" ht="84.9" hidden="1" customHeight="1" x14ac:dyDescent="0.45">
      <c r="A250" s="163">
        <v>1</v>
      </c>
      <c r="B250" s="19">
        <v>262</v>
      </c>
      <c r="C250" s="138" t="s">
        <v>444</v>
      </c>
      <c r="D250" s="19" t="s">
        <v>362</v>
      </c>
      <c r="E250" s="19" t="s">
        <v>445</v>
      </c>
      <c r="F250" s="19" t="s">
        <v>370</v>
      </c>
      <c r="G250" s="19">
        <v>1950</v>
      </c>
      <c r="H250" s="19">
        <v>4</v>
      </c>
      <c r="I250" s="19">
        <v>3</v>
      </c>
      <c r="J250" s="23">
        <v>2135.1</v>
      </c>
      <c r="K250" s="23">
        <v>2011.4</v>
      </c>
      <c r="L250" s="23">
        <v>1416.2</v>
      </c>
      <c r="M250" s="19" t="s">
        <v>364</v>
      </c>
      <c r="N250" s="19" t="s">
        <v>365</v>
      </c>
      <c r="O250" s="19" t="s">
        <v>366</v>
      </c>
      <c r="P250" s="19"/>
      <c r="Q250" s="99">
        <v>1473663.28</v>
      </c>
      <c r="R250" s="101">
        <v>2084052.81</v>
      </c>
      <c r="S250" s="99">
        <v>1426147.35</v>
      </c>
      <c r="T250" s="99">
        <v>1410603.64</v>
      </c>
      <c r="U250" s="28"/>
      <c r="V250" s="99">
        <v>2570092.67</v>
      </c>
      <c r="W250" s="28"/>
      <c r="X250" s="28"/>
      <c r="Y250" s="28"/>
      <c r="Z250" s="28"/>
      <c r="AA250" s="28"/>
      <c r="AB250" s="28"/>
      <c r="AC250" s="28">
        <v>557819.36</v>
      </c>
      <c r="AD250" s="99">
        <f>SUM(Q250:AC250)</f>
        <v>9522379.1099999994</v>
      </c>
      <c r="AE250" s="28"/>
      <c r="AF250" s="28"/>
      <c r="AG250" s="28">
        <f>SUM(Q250:AC250)</f>
        <v>9522379.1099999994</v>
      </c>
      <c r="AH250" s="37"/>
      <c r="AI250" s="19">
        <v>2020</v>
      </c>
      <c r="AJ250" s="19">
        <v>2022</v>
      </c>
    </row>
    <row r="251" spans="1:37" s="124" customFormat="1" ht="15" hidden="1" customHeight="1" x14ac:dyDescent="0.45">
      <c r="A251" s="140"/>
      <c r="B251" s="141"/>
      <c r="C251" s="143"/>
      <c r="D251" s="141"/>
      <c r="E251" s="141"/>
      <c r="F251" s="141"/>
      <c r="G251" s="141"/>
      <c r="H251" s="141"/>
      <c r="I251" s="141"/>
      <c r="J251" s="149"/>
      <c r="K251" s="149"/>
      <c r="L251" s="149"/>
      <c r="M251" s="141"/>
      <c r="N251" s="141"/>
      <c r="O251" s="141"/>
      <c r="P251" s="141"/>
      <c r="Q251" s="171">
        <v>1258118.1299999999</v>
      </c>
      <c r="R251" s="162">
        <v>2194178.4300000002</v>
      </c>
      <c r="S251" s="171">
        <v>1217552.1100000001</v>
      </c>
      <c r="T251" s="171">
        <v>1204281.8999999999</v>
      </c>
      <c r="U251" s="171"/>
      <c r="V251" s="171">
        <v>1779229.13</v>
      </c>
      <c r="W251" s="171"/>
      <c r="X251" s="171"/>
      <c r="Y251" s="171"/>
      <c r="Z251" s="171"/>
      <c r="AA251" s="171"/>
      <c r="AB251" s="171"/>
      <c r="AC251" s="171">
        <v>557819.36</v>
      </c>
      <c r="AD251" s="171">
        <v>8211179.0599999996</v>
      </c>
      <c r="AE251" s="171"/>
      <c r="AF251" s="171"/>
      <c r="AG251" s="171">
        <v>8211179.0599999996</v>
      </c>
      <c r="AH251" s="162"/>
      <c r="AI251" s="141"/>
      <c r="AJ251" s="141"/>
    </row>
    <row r="252" spans="1:37" ht="84.9" hidden="1" customHeight="1" x14ac:dyDescent="0.45">
      <c r="A252" s="163">
        <v>1</v>
      </c>
      <c r="B252" s="179">
        <v>371</v>
      </c>
      <c r="C252" s="138" t="s">
        <v>446</v>
      </c>
      <c r="D252" s="19" t="s">
        <v>447</v>
      </c>
      <c r="E252" s="19" t="s">
        <v>414</v>
      </c>
      <c r="F252" s="19"/>
      <c r="G252" s="19">
        <v>1940</v>
      </c>
      <c r="H252" s="19">
        <v>6</v>
      </c>
      <c r="I252" s="19">
        <v>6</v>
      </c>
      <c r="J252" s="39">
        <v>10130</v>
      </c>
      <c r="K252" s="23">
        <v>9208.5</v>
      </c>
      <c r="L252" s="19" t="s">
        <v>364</v>
      </c>
      <c r="M252" s="19">
        <v>181</v>
      </c>
      <c r="N252" s="19" t="s">
        <v>423</v>
      </c>
      <c r="O252" s="19" t="s">
        <v>425</v>
      </c>
      <c r="P252" s="19"/>
      <c r="Q252" s="28"/>
      <c r="R252" s="37"/>
      <c r="S252" s="28"/>
      <c r="T252" s="28"/>
      <c r="U252" s="28"/>
      <c r="V252" s="28"/>
      <c r="W252" s="28"/>
      <c r="X252" s="28"/>
      <c r="Y252" s="170">
        <v>36033024.869999997</v>
      </c>
      <c r="Z252" s="41"/>
      <c r="AA252" s="170">
        <v>32111179.969999999</v>
      </c>
      <c r="AB252" s="28"/>
      <c r="AC252" s="170">
        <v>2485036.2000000002</v>
      </c>
      <c r="AD252" s="170">
        <f>Y252+AA252+AC252</f>
        <v>70629241.040000007</v>
      </c>
      <c r="AE252" s="170">
        <f t="shared" ref="AE252:AE256" si="69">SUM(R252:AC252)</f>
        <v>70629241.040000007</v>
      </c>
      <c r="AF252" s="28"/>
      <c r="AG252" s="28"/>
      <c r="AH252" s="37"/>
      <c r="AI252" s="19">
        <v>2022</v>
      </c>
      <c r="AJ252" s="19">
        <v>2023</v>
      </c>
      <c r="AK252" s="130" t="s">
        <v>416</v>
      </c>
    </row>
    <row r="253" spans="1:37" s="124" customFormat="1" ht="15" hidden="1" customHeight="1" x14ac:dyDescent="0.45">
      <c r="A253" s="140"/>
      <c r="B253" s="141"/>
      <c r="C253" s="143"/>
      <c r="D253" s="141"/>
      <c r="E253" s="141"/>
      <c r="F253" s="141"/>
      <c r="G253" s="141"/>
      <c r="H253" s="141"/>
      <c r="I253" s="141"/>
      <c r="J253" s="149"/>
      <c r="K253" s="149"/>
      <c r="L253" s="149"/>
      <c r="M253" s="141"/>
      <c r="N253" s="141"/>
      <c r="O253" s="141"/>
      <c r="P253" s="141"/>
      <c r="Q253" s="171"/>
      <c r="R253" s="162"/>
      <c r="S253" s="171"/>
      <c r="T253" s="171"/>
      <c r="U253" s="171"/>
      <c r="V253" s="171"/>
      <c r="W253" s="171"/>
      <c r="X253" s="171"/>
      <c r="Y253" s="171"/>
      <c r="Z253" s="171"/>
      <c r="AA253" s="171"/>
      <c r="AB253" s="171"/>
      <c r="AC253" s="171"/>
      <c r="AD253" s="171"/>
      <c r="AE253" s="171"/>
      <c r="AF253" s="171"/>
      <c r="AG253" s="171"/>
      <c r="AH253" s="162"/>
      <c r="AI253" s="141"/>
      <c r="AJ253" s="141"/>
    </row>
    <row r="254" spans="1:37" ht="84.9" hidden="1" customHeight="1" x14ac:dyDescent="0.45">
      <c r="A254" s="163">
        <v>1</v>
      </c>
      <c r="B254" s="19">
        <v>372</v>
      </c>
      <c r="C254" s="138" t="s">
        <v>448</v>
      </c>
      <c r="D254" s="19" t="s">
        <v>447</v>
      </c>
      <c r="E254" s="19" t="s">
        <v>414</v>
      </c>
      <c r="F254" s="19"/>
      <c r="G254" s="19">
        <v>1961</v>
      </c>
      <c r="H254" s="19">
        <v>5</v>
      </c>
      <c r="I254" s="19">
        <v>7</v>
      </c>
      <c r="J254" s="23">
        <v>8701</v>
      </c>
      <c r="K254" s="23">
        <v>7971.7</v>
      </c>
      <c r="L254" s="23" t="s">
        <v>364</v>
      </c>
      <c r="M254" s="19" t="s">
        <v>364</v>
      </c>
      <c r="N254" s="19" t="s">
        <v>365</v>
      </c>
      <c r="O254" s="19" t="s">
        <v>449</v>
      </c>
      <c r="P254" s="19"/>
      <c r="Q254" s="28"/>
      <c r="R254" s="37"/>
      <c r="S254" s="28"/>
      <c r="T254" s="28"/>
      <c r="U254" s="28"/>
      <c r="V254" s="28"/>
      <c r="W254" s="28"/>
      <c r="X254" s="28"/>
      <c r="Y254" s="170">
        <v>31193404.390000001</v>
      </c>
      <c r="Z254" s="28"/>
      <c r="AA254" s="28"/>
      <c r="AB254" s="28"/>
      <c r="AC254" s="170">
        <v>2151269.27</v>
      </c>
      <c r="AD254" s="170">
        <f>Y254+AC254</f>
        <v>33344673.66</v>
      </c>
      <c r="AE254" s="170">
        <f t="shared" si="69"/>
        <v>33344673.66</v>
      </c>
      <c r="AF254" s="28"/>
      <c r="AG254" s="28"/>
      <c r="AH254" s="37"/>
      <c r="AI254" s="19">
        <v>2022</v>
      </c>
      <c r="AJ254" s="19">
        <v>2023</v>
      </c>
      <c r="AK254" s="130" t="s">
        <v>416</v>
      </c>
    </row>
    <row r="255" spans="1:37" s="124" customFormat="1" ht="15" hidden="1" customHeight="1" x14ac:dyDescent="0.45">
      <c r="A255" s="140"/>
      <c r="B255" s="141"/>
      <c r="C255" s="143"/>
      <c r="D255" s="141"/>
      <c r="E255" s="141"/>
      <c r="F255" s="141"/>
      <c r="G255" s="141"/>
      <c r="H255" s="141"/>
      <c r="I255" s="141"/>
      <c r="J255" s="149"/>
      <c r="K255" s="149"/>
      <c r="L255" s="149"/>
      <c r="M255" s="141"/>
      <c r="N255" s="141"/>
      <c r="O255" s="141"/>
      <c r="P255" s="141"/>
      <c r="Q255" s="171"/>
      <c r="R255" s="162"/>
      <c r="S255" s="171"/>
      <c r="T255" s="171"/>
      <c r="U255" s="171"/>
      <c r="V255" s="171"/>
      <c r="W255" s="171"/>
      <c r="X255" s="171"/>
      <c r="Y255" s="171"/>
      <c r="Z255" s="171"/>
      <c r="AA255" s="171"/>
      <c r="AB255" s="171"/>
      <c r="AC255" s="171"/>
      <c r="AD255" s="171"/>
      <c r="AE255" s="171"/>
      <c r="AF255" s="171"/>
      <c r="AG255" s="171"/>
      <c r="AH255" s="162"/>
      <c r="AI255" s="141"/>
      <c r="AJ255" s="141"/>
    </row>
    <row r="256" spans="1:37" ht="84.9" hidden="1" customHeight="1" x14ac:dyDescent="0.45">
      <c r="A256" s="163">
        <v>1</v>
      </c>
      <c r="B256" s="19">
        <v>373</v>
      </c>
      <c r="C256" s="138" t="s">
        <v>450</v>
      </c>
      <c r="D256" s="19" t="s">
        <v>447</v>
      </c>
      <c r="E256" s="19" t="s">
        <v>414</v>
      </c>
      <c r="F256" s="19"/>
      <c r="G256" s="19">
        <v>1959</v>
      </c>
      <c r="H256" s="19">
        <v>5</v>
      </c>
      <c r="I256" s="19">
        <v>5</v>
      </c>
      <c r="J256" s="23">
        <v>6587.7</v>
      </c>
      <c r="K256" s="23">
        <v>5994.9</v>
      </c>
      <c r="L256" s="23" t="s">
        <v>364</v>
      </c>
      <c r="M256" s="19" t="s">
        <v>364</v>
      </c>
      <c r="N256" s="19" t="s">
        <v>365</v>
      </c>
      <c r="O256" s="19" t="s">
        <v>366</v>
      </c>
      <c r="P256" s="19"/>
      <c r="Q256" s="28"/>
      <c r="R256" s="37"/>
      <c r="S256" s="28"/>
      <c r="T256" s="28"/>
      <c r="U256" s="28"/>
      <c r="V256" s="28"/>
      <c r="W256" s="28"/>
      <c r="X256" s="28"/>
      <c r="Y256" s="170">
        <v>23458150.710000001</v>
      </c>
      <c r="Z256" s="28"/>
      <c r="AA256" s="28"/>
      <c r="AB256" s="28"/>
      <c r="AC256" s="170">
        <v>1617803.5</v>
      </c>
      <c r="AD256" s="170">
        <f>Y256+AC256</f>
        <v>25075954.210000001</v>
      </c>
      <c r="AE256" s="170">
        <f t="shared" si="69"/>
        <v>25075954.210000001</v>
      </c>
      <c r="AF256" s="28"/>
      <c r="AG256" s="28"/>
      <c r="AH256" s="37"/>
      <c r="AI256" s="19">
        <v>2022</v>
      </c>
      <c r="AJ256" s="19">
        <v>2023</v>
      </c>
      <c r="AK256" s="130" t="s">
        <v>416</v>
      </c>
    </row>
    <row r="257" spans="1:37" s="124" customFormat="1" ht="15" hidden="1" customHeight="1" x14ac:dyDescent="0.45">
      <c r="A257" s="140"/>
      <c r="B257" s="141"/>
      <c r="C257" s="143"/>
      <c r="D257" s="141"/>
      <c r="E257" s="141"/>
      <c r="F257" s="141"/>
      <c r="G257" s="141"/>
      <c r="H257" s="141"/>
      <c r="I257" s="141"/>
      <c r="J257" s="149"/>
      <c r="K257" s="149"/>
      <c r="L257" s="149"/>
      <c r="M257" s="141"/>
      <c r="N257" s="141"/>
      <c r="O257" s="141"/>
      <c r="P257" s="141"/>
      <c r="Q257" s="171"/>
      <c r="R257" s="162"/>
      <c r="S257" s="171"/>
      <c r="T257" s="171"/>
      <c r="U257" s="171"/>
      <c r="V257" s="171"/>
      <c r="W257" s="171"/>
      <c r="X257" s="171"/>
      <c r="Y257" s="171"/>
      <c r="Z257" s="171"/>
      <c r="AA257" s="171"/>
      <c r="AB257" s="171"/>
      <c r="AC257" s="171"/>
      <c r="AD257" s="171"/>
      <c r="AE257" s="171"/>
      <c r="AF257" s="171"/>
      <c r="AG257" s="171"/>
      <c r="AH257" s="162"/>
      <c r="AI257" s="141"/>
      <c r="AJ257" s="141"/>
    </row>
    <row r="258" spans="1:37" ht="84.9" hidden="1" customHeight="1" x14ac:dyDescent="0.45">
      <c r="A258" s="163">
        <v>1</v>
      </c>
      <c r="B258" s="19">
        <v>374</v>
      </c>
      <c r="C258" s="138" t="s">
        <v>451</v>
      </c>
      <c r="D258" s="19" t="s">
        <v>447</v>
      </c>
      <c r="E258" s="19" t="s">
        <v>414</v>
      </c>
      <c r="F258" s="19"/>
      <c r="G258" s="19">
        <v>1938</v>
      </c>
      <c r="H258" s="19">
        <v>4</v>
      </c>
      <c r="I258" s="19">
        <v>2</v>
      </c>
      <c r="J258" s="23">
        <v>1831.9</v>
      </c>
      <c r="K258" s="23">
        <v>1831.9</v>
      </c>
      <c r="L258" s="23" t="s">
        <v>364</v>
      </c>
      <c r="M258" s="19">
        <v>24</v>
      </c>
      <c r="N258" s="19" t="s">
        <v>365</v>
      </c>
      <c r="O258" s="19" t="s">
        <v>366</v>
      </c>
      <c r="P258" s="19"/>
      <c r="Q258" s="28"/>
      <c r="R258" s="37"/>
      <c r="S258" s="28"/>
      <c r="T258" s="28"/>
      <c r="U258" s="28"/>
      <c r="V258" s="28"/>
      <c r="W258" s="28"/>
      <c r="X258" s="28"/>
      <c r="Y258" s="170">
        <v>11110400.130000001</v>
      </c>
      <c r="Z258" s="28"/>
      <c r="AA258" s="28"/>
      <c r="AB258" s="28"/>
      <c r="AC258" s="170">
        <v>766234.49</v>
      </c>
      <c r="AD258" s="170">
        <f t="shared" ref="AD258:AD262" si="70">SUM(Q258:AC258)</f>
        <v>11876634.620000001</v>
      </c>
      <c r="AE258" s="170">
        <f t="shared" ref="AE258:AE262" si="71">SUM(R258:AC258)</f>
        <v>11876634.620000001</v>
      </c>
      <c r="AF258" s="28"/>
      <c r="AG258" s="28"/>
      <c r="AH258" s="37"/>
      <c r="AI258" s="19">
        <v>2022</v>
      </c>
      <c r="AJ258" s="19">
        <v>2023</v>
      </c>
      <c r="AK258" s="130" t="s">
        <v>416</v>
      </c>
    </row>
    <row r="259" spans="1:37" s="124" customFormat="1" ht="15" hidden="1" customHeight="1" x14ac:dyDescent="0.45">
      <c r="A259" s="140"/>
      <c r="B259" s="141"/>
      <c r="C259" s="143"/>
      <c r="D259" s="141"/>
      <c r="E259" s="141"/>
      <c r="F259" s="141"/>
      <c r="G259" s="141"/>
      <c r="H259" s="141"/>
      <c r="I259" s="141"/>
      <c r="J259" s="149"/>
      <c r="K259" s="149"/>
      <c r="L259" s="149"/>
      <c r="M259" s="141"/>
      <c r="N259" s="141"/>
      <c r="O259" s="141"/>
      <c r="P259" s="141"/>
      <c r="Q259" s="171"/>
      <c r="R259" s="162"/>
      <c r="S259" s="171"/>
      <c r="T259" s="171"/>
      <c r="U259" s="171"/>
      <c r="V259" s="171"/>
      <c r="W259" s="171"/>
      <c r="X259" s="171"/>
      <c r="Y259" s="171"/>
      <c r="Z259" s="171"/>
      <c r="AA259" s="171"/>
      <c r="AB259" s="171"/>
      <c r="AC259" s="171"/>
      <c r="AD259" s="171"/>
      <c r="AE259" s="171"/>
      <c r="AF259" s="171"/>
      <c r="AG259" s="171"/>
      <c r="AH259" s="162"/>
      <c r="AI259" s="141"/>
      <c r="AJ259" s="141"/>
    </row>
    <row r="260" spans="1:37" ht="84.9" hidden="1" customHeight="1" x14ac:dyDescent="0.45">
      <c r="A260" s="163">
        <v>1</v>
      </c>
      <c r="B260" s="19">
        <v>375</v>
      </c>
      <c r="C260" s="138" t="s">
        <v>452</v>
      </c>
      <c r="D260" s="19" t="s">
        <v>447</v>
      </c>
      <c r="E260" s="19" t="s">
        <v>414</v>
      </c>
      <c r="F260" s="19"/>
      <c r="G260" s="19">
        <v>1933</v>
      </c>
      <c r="H260" s="19">
        <v>5</v>
      </c>
      <c r="I260" s="19">
        <v>6</v>
      </c>
      <c r="J260" s="23">
        <v>5727.1</v>
      </c>
      <c r="K260" s="23">
        <v>5727.1</v>
      </c>
      <c r="L260" s="23" t="s">
        <v>364</v>
      </c>
      <c r="M260" s="19">
        <v>82</v>
      </c>
      <c r="N260" s="19" t="s">
        <v>365</v>
      </c>
      <c r="O260" s="19" t="s">
        <v>366</v>
      </c>
      <c r="P260" s="19" t="s">
        <v>415</v>
      </c>
      <c r="Q260" s="28"/>
      <c r="R260" s="37"/>
      <c r="S260" s="28"/>
      <c r="T260" s="28"/>
      <c r="U260" s="28"/>
      <c r="V260" s="28"/>
      <c r="W260" s="28"/>
      <c r="X260" s="28"/>
      <c r="Y260" s="170">
        <v>28460421.690000001</v>
      </c>
      <c r="Z260" s="28"/>
      <c r="AA260" s="28"/>
      <c r="AB260" s="28"/>
      <c r="AC260" s="170">
        <v>1962787.7</v>
      </c>
      <c r="AD260" s="170">
        <f t="shared" si="70"/>
        <v>30423209.390000001</v>
      </c>
      <c r="AE260" s="170">
        <f t="shared" si="71"/>
        <v>30423209.390000001</v>
      </c>
      <c r="AF260" s="28"/>
      <c r="AG260" s="28"/>
      <c r="AH260" s="37"/>
      <c r="AI260" s="19">
        <v>2022</v>
      </c>
      <c r="AJ260" s="19">
        <v>2023</v>
      </c>
      <c r="AK260" s="130" t="s">
        <v>416</v>
      </c>
    </row>
    <row r="261" spans="1:37" s="124" customFormat="1" ht="15" hidden="1" customHeight="1" x14ac:dyDescent="0.45">
      <c r="A261" s="140"/>
      <c r="B261" s="141"/>
      <c r="C261" s="143"/>
      <c r="D261" s="141"/>
      <c r="E261" s="141"/>
      <c r="F261" s="141"/>
      <c r="G261" s="141"/>
      <c r="H261" s="141"/>
      <c r="I261" s="141"/>
      <c r="J261" s="149"/>
      <c r="K261" s="149"/>
      <c r="L261" s="149"/>
      <c r="M261" s="141"/>
      <c r="N261" s="141"/>
      <c r="O261" s="141"/>
      <c r="P261" s="141"/>
      <c r="Q261" s="171"/>
      <c r="R261" s="162"/>
      <c r="S261" s="171"/>
      <c r="T261" s="171"/>
      <c r="U261" s="171"/>
      <c r="V261" s="171"/>
      <c r="W261" s="171"/>
      <c r="X261" s="171"/>
      <c r="Y261" s="171"/>
      <c r="Z261" s="171"/>
      <c r="AA261" s="171"/>
      <c r="AB261" s="171"/>
      <c r="AC261" s="171"/>
      <c r="AD261" s="171"/>
      <c r="AE261" s="171"/>
      <c r="AF261" s="171"/>
      <c r="AG261" s="171"/>
      <c r="AH261" s="162"/>
      <c r="AI261" s="141"/>
      <c r="AJ261" s="141"/>
    </row>
    <row r="262" spans="1:37" ht="84.9" hidden="1" customHeight="1" x14ac:dyDescent="0.45">
      <c r="A262" s="163">
        <v>1</v>
      </c>
      <c r="B262" s="19">
        <v>376</v>
      </c>
      <c r="C262" s="138" t="s">
        <v>453</v>
      </c>
      <c r="D262" s="19" t="s">
        <v>447</v>
      </c>
      <c r="E262" s="19" t="s">
        <v>414</v>
      </c>
      <c r="F262" s="19"/>
      <c r="G262" s="19">
        <v>1975</v>
      </c>
      <c r="H262" s="19">
        <v>6</v>
      </c>
      <c r="I262" s="19">
        <v>8</v>
      </c>
      <c r="J262" s="23">
        <v>5841.2</v>
      </c>
      <c r="K262" s="23">
        <v>5841.2</v>
      </c>
      <c r="L262" s="23" t="s">
        <v>364</v>
      </c>
      <c r="M262" s="19">
        <v>182</v>
      </c>
      <c r="N262" s="19" t="s">
        <v>365</v>
      </c>
      <c r="O262" s="19" t="s">
        <v>366</v>
      </c>
      <c r="P262" s="19"/>
      <c r="Q262" s="28"/>
      <c r="R262" s="37"/>
      <c r="S262" s="28"/>
      <c r="T262" s="28"/>
      <c r="U262" s="28"/>
      <c r="V262" s="28"/>
      <c r="W262" s="28"/>
      <c r="X262" s="28"/>
      <c r="Y262" s="170">
        <v>22098424.039999999</v>
      </c>
      <c r="Z262" s="28"/>
      <c r="AA262" s="170">
        <v>20368987.829999998</v>
      </c>
      <c r="AB262" s="28"/>
      <c r="AC262" s="170">
        <v>2928787.03</v>
      </c>
      <c r="AD262" s="170">
        <f t="shared" si="70"/>
        <v>45396198.899999999</v>
      </c>
      <c r="AE262" s="170">
        <f t="shared" si="71"/>
        <v>45396198.899999999</v>
      </c>
      <c r="AF262" s="28"/>
      <c r="AG262" s="28"/>
      <c r="AH262" s="37"/>
      <c r="AI262" s="19">
        <v>2022</v>
      </c>
      <c r="AJ262" s="19">
        <v>2023</v>
      </c>
      <c r="AK262" s="130" t="s">
        <v>416</v>
      </c>
    </row>
    <row r="263" spans="1:37" s="124" customFormat="1" ht="15" hidden="1" customHeight="1" x14ac:dyDescent="0.45">
      <c r="A263" s="140"/>
      <c r="B263" s="141"/>
      <c r="C263" s="143"/>
      <c r="D263" s="141"/>
      <c r="E263" s="141"/>
      <c r="F263" s="141"/>
      <c r="G263" s="141"/>
      <c r="H263" s="141"/>
      <c r="I263" s="141"/>
      <c r="J263" s="149"/>
      <c r="K263" s="149"/>
      <c r="L263" s="149"/>
      <c r="M263" s="141"/>
      <c r="N263" s="141"/>
      <c r="O263" s="141"/>
      <c r="P263" s="141"/>
      <c r="Q263" s="171"/>
      <c r="R263" s="162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62"/>
      <c r="AI263" s="141"/>
      <c r="AJ263" s="141"/>
    </row>
    <row r="264" spans="1:37" ht="84.9" hidden="1" customHeight="1" x14ac:dyDescent="0.45">
      <c r="A264" s="163">
        <v>1</v>
      </c>
      <c r="B264" s="19">
        <v>377</v>
      </c>
      <c r="C264" s="138" t="s">
        <v>454</v>
      </c>
      <c r="D264" s="19" t="s">
        <v>447</v>
      </c>
      <c r="E264" s="19" t="s">
        <v>414</v>
      </c>
      <c r="F264" s="19"/>
      <c r="G264" s="19">
        <v>1935</v>
      </c>
      <c r="H264" s="19">
        <v>5</v>
      </c>
      <c r="I264" s="19">
        <v>10</v>
      </c>
      <c r="J264" s="23">
        <v>6125.2</v>
      </c>
      <c r="K264" s="23">
        <v>6125.2</v>
      </c>
      <c r="L264" s="23" t="s">
        <v>364</v>
      </c>
      <c r="M264" s="19">
        <v>163</v>
      </c>
      <c r="N264" s="19" t="s">
        <v>365</v>
      </c>
      <c r="O264" s="19" t="s">
        <v>366</v>
      </c>
      <c r="P264" s="19" t="s">
        <v>415</v>
      </c>
      <c r="Q264" s="28"/>
      <c r="R264" s="37"/>
      <c r="S264" s="28"/>
      <c r="T264" s="28"/>
      <c r="U264" s="28"/>
      <c r="V264" s="28"/>
      <c r="W264" s="28"/>
      <c r="X264" s="28"/>
      <c r="Y264" s="170">
        <v>30438751.719999999</v>
      </c>
      <c r="Z264" s="28"/>
      <c r="AA264" s="170">
        <v>54179907.479999997</v>
      </c>
      <c r="AB264" s="28"/>
      <c r="AC264" s="170">
        <v>5835769.5999999996</v>
      </c>
      <c r="AD264" s="170">
        <f t="shared" ref="AD264:AD268" si="72">SUM(Q264:AC264)</f>
        <v>90454428.799999982</v>
      </c>
      <c r="AE264" s="170">
        <f t="shared" ref="AE264:AE268" si="73">SUM(R264:AC264)</f>
        <v>90454428.799999982</v>
      </c>
      <c r="AF264" s="28"/>
      <c r="AG264" s="28"/>
      <c r="AH264" s="37"/>
      <c r="AI264" s="19">
        <v>2022</v>
      </c>
      <c r="AJ264" s="19">
        <v>2023</v>
      </c>
      <c r="AK264" s="130" t="s">
        <v>416</v>
      </c>
    </row>
    <row r="265" spans="1:37" s="124" customFormat="1" ht="15" hidden="1" customHeight="1" x14ac:dyDescent="0.45">
      <c r="A265" s="140"/>
      <c r="B265" s="141"/>
      <c r="C265" s="143"/>
      <c r="D265" s="141"/>
      <c r="E265" s="141"/>
      <c r="F265" s="141"/>
      <c r="G265" s="141"/>
      <c r="H265" s="141"/>
      <c r="I265" s="141"/>
      <c r="J265" s="149"/>
      <c r="K265" s="149"/>
      <c r="L265" s="149"/>
      <c r="M265" s="141"/>
      <c r="N265" s="141"/>
      <c r="O265" s="141"/>
      <c r="P265" s="141"/>
      <c r="Q265" s="171"/>
      <c r="R265" s="162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62"/>
      <c r="AI265" s="141"/>
      <c r="AJ265" s="141"/>
    </row>
    <row r="266" spans="1:37" ht="84.9" hidden="1" customHeight="1" x14ac:dyDescent="0.45">
      <c r="A266" s="163">
        <v>1</v>
      </c>
      <c r="B266" s="19">
        <v>378</v>
      </c>
      <c r="C266" s="187" t="s">
        <v>455</v>
      </c>
      <c r="D266" s="19" t="s">
        <v>447</v>
      </c>
      <c r="E266" s="19" t="s">
        <v>414</v>
      </c>
      <c r="F266" s="19"/>
      <c r="G266" s="19">
        <v>1939</v>
      </c>
      <c r="H266" s="19">
        <v>7</v>
      </c>
      <c r="I266" s="19">
        <v>8</v>
      </c>
      <c r="J266" s="23">
        <v>8890.4</v>
      </c>
      <c r="K266" s="23">
        <v>8890.4</v>
      </c>
      <c r="L266" s="23" t="s">
        <v>364</v>
      </c>
      <c r="M266" s="19">
        <v>114</v>
      </c>
      <c r="N266" s="19" t="s">
        <v>365</v>
      </c>
      <c r="O266" s="19" t="s">
        <v>366</v>
      </c>
      <c r="P266" s="19" t="s">
        <v>415</v>
      </c>
      <c r="Q266" s="28"/>
      <c r="R266" s="37"/>
      <c r="S266" s="28"/>
      <c r="T266" s="28"/>
      <c r="U266" s="28"/>
      <c r="V266" s="28"/>
      <c r="W266" s="28"/>
      <c r="X266" s="28"/>
      <c r="Y266" s="170">
        <v>40927606.289999999</v>
      </c>
      <c r="Z266" s="28"/>
      <c r="AA266" s="28"/>
      <c r="AB266" s="28"/>
      <c r="AC266" s="170">
        <v>2822593.54</v>
      </c>
      <c r="AD266" s="170">
        <f t="shared" si="72"/>
        <v>43750199.829999998</v>
      </c>
      <c r="AE266" s="170">
        <f t="shared" si="73"/>
        <v>43750199.829999998</v>
      </c>
      <c r="AF266" s="28"/>
      <c r="AG266" s="28"/>
      <c r="AH266" s="37"/>
      <c r="AI266" s="19">
        <v>2022</v>
      </c>
      <c r="AJ266" s="19">
        <v>2023</v>
      </c>
      <c r="AK266" s="130" t="s">
        <v>416</v>
      </c>
    </row>
    <row r="267" spans="1:37" s="124" customFormat="1" ht="15" hidden="1" customHeight="1" x14ac:dyDescent="0.45">
      <c r="A267" s="140"/>
      <c r="B267" s="141"/>
      <c r="C267" s="143"/>
      <c r="D267" s="141"/>
      <c r="E267" s="141"/>
      <c r="F267" s="141"/>
      <c r="G267" s="141"/>
      <c r="H267" s="141"/>
      <c r="I267" s="141"/>
      <c r="J267" s="149"/>
      <c r="K267" s="149"/>
      <c r="L267" s="149"/>
      <c r="M267" s="141"/>
      <c r="N267" s="141"/>
      <c r="O267" s="141"/>
      <c r="P267" s="141"/>
      <c r="Q267" s="171"/>
      <c r="R267" s="162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162"/>
      <c r="AI267" s="141"/>
      <c r="AJ267" s="141"/>
    </row>
    <row r="268" spans="1:37" ht="84.9" hidden="1" customHeight="1" x14ac:dyDescent="0.45">
      <c r="A268" s="163">
        <v>1</v>
      </c>
      <c r="B268" s="19">
        <v>379</v>
      </c>
      <c r="C268" s="138" t="s">
        <v>456</v>
      </c>
      <c r="D268" s="19" t="s">
        <v>447</v>
      </c>
      <c r="E268" s="19" t="s">
        <v>414</v>
      </c>
      <c r="F268" s="19"/>
      <c r="G268" s="19">
        <v>1950</v>
      </c>
      <c r="H268" s="19">
        <v>6</v>
      </c>
      <c r="I268" s="19">
        <v>8</v>
      </c>
      <c r="J268" s="39">
        <v>9989.2000000000007</v>
      </c>
      <c r="K268" s="23">
        <v>9101.6</v>
      </c>
      <c r="L268" s="19" t="s">
        <v>364</v>
      </c>
      <c r="M268" s="19">
        <v>179</v>
      </c>
      <c r="N268" s="19" t="s">
        <v>365</v>
      </c>
      <c r="O268" s="19" t="s">
        <v>366</v>
      </c>
      <c r="P268" s="19" t="s">
        <v>415</v>
      </c>
      <c r="Q268" s="28"/>
      <c r="R268" s="37"/>
      <c r="S268" s="28"/>
      <c r="T268" s="28"/>
      <c r="U268" s="28"/>
      <c r="V268" s="28"/>
      <c r="W268" s="28"/>
      <c r="X268" s="28"/>
      <c r="Y268" s="170">
        <v>28805117.300000001</v>
      </c>
      <c r="Z268" s="28"/>
      <c r="AA268" s="170">
        <v>54587705.189999998</v>
      </c>
      <c r="AB268" s="28"/>
      <c r="AC268" s="170">
        <v>1986559.81</v>
      </c>
      <c r="AD268" s="170">
        <f t="shared" si="72"/>
        <v>85379382.299999997</v>
      </c>
      <c r="AE268" s="170">
        <f t="shared" si="73"/>
        <v>85379382.299999997</v>
      </c>
      <c r="AF268" s="28"/>
      <c r="AG268" s="28"/>
      <c r="AH268" s="37"/>
      <c r="AI268" s="19">
        <v>2022</v>
      </c>
      <c r="AJ268" s="19">
        <v>2023</v>
      </c>
      <c r="AK268" s="130" t="s">
        <v>416</v>
      </c>
    </row>
    <row r="269" spans="1:37" s="124" customFormat="1" ht="15" hidden="1" customHeight="1" x14ac:dyDescent="0.45">
      <c r="A269" s="140"/>
      <c r="B269" s="141"/>
      <c r="C269" s="143"/>
      <c r="D269" s="141"/>
      <c r="E269" s="141"/>
      <c r="F269" s="141"/>
      <c r="G269" s="141"/>
      <c r="H269" s="141"/>
      <c r="I269" s="141"/>
      <c r="J269" s="149"/>
      <c r="K269" s="149"/>
      <c r="L269" s="149"/>
      <c r="M269" s="141"/>
      <c r="N269" s="141"/>
      <c r="O269" s="141"/>
      <c r="P269" s="141"/>
      <c r="Q269" s="171"/>
      <c r="R269" s="162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1"/>
      <c r="AE269" s="171"/>
      <c r="AF269" s="171"/>
      <c r="AG269" s="171"/>
      <c r="AH269" s="162"/>
      <c r="AI269" s="141"/>
      <c r="AJ269" s="141"/>
    </row>
    <row r="270" spans="1:37" ht="84.9" hidden="1" customHeight="1" x14ac:dyDescent="0.45">
      <c r="A270" s="163">
        <v>1</v>
      </c>
      <c r="B270" s="19">
        <v>380</v>
      </c>
      <c r="C270" s="138" t="s">
        <v>457</v>
      </c>
      <c r="D270" s="19" t="s">
        <v>447</v>
      </c>
      <c r="E270" s="19" t="s">
        <v>414</v>
      </c>
      <c r="F270" s="19"/>
      <c r="G270" s="19">
        <v>1937</v>
      </c>
      <c r="H270" s="19">
        <v>5</v>
      </c>
      <c r="I270" s="19">
        <v>5</v>
      </c>
      <c r="J270" s="39">
        <v>3925.7</v>
      </c>
      <c r="K270" s="23">
        <v>3557.1</v>
      </c>
      <c r="L270" s="19" t="s">
        <v>364</v>
      </c>
      <c r="M270" s="19" t="s">
        <v>364</v>
      </c>
      <c r="N270" s="19" t="s">
        <v>365</v>
      </c>
      <c r="O270" s="19" t="s">
        <v>366</v>
      </c>
      <c r="P270" s="19" t="s">
        <v>415</v>
      </c>
      <c r="Q270" s="28"/>
      <c r="R270" s="37"/>
      <c r="S270" s="28"/>
      <c r="T270" s="28"/>
      <c r="U270" s="28"/>
      <c r="V270" s="28"/>
      <c r="W270" s="28"/>
      <c r="X270" s="28"/>
      <c r="Y270" s="170">
        <v>17676758.920000002</v>
      </c>
      <c r="Z270" s="28"/>
      <c r="AA270" s="170">
        <v>31464009.16</v>
      </c>
      <c r="AB270" s="28"/>
      <c r="AC270" s="170">
        <v>0</v>
      </c>
      <c r="AD270" s="170">
        <f>SUM(Q270:AC270)</f>
        <v>49140768.079999998</v>
      </c>
      <c r="AE270" s="170">
        <f>SUM(R270:AC270)</f>
        <v>49140768.079999998</v>
      </c>
      <c r="AF270" s="28"/>
      <c r="AG270" s="28"/>
      <c r="AH270" s="37"/>
      <c r="AI270" s="19">
        <v>2022</v>
      </c>
      <c r="AJ270" s="19">
        <v>2023</v>
      </c>
      <c r="AK270" s="130" t="s">
        <v>416</v>
      </c>
    </row>
    <row r="271" spans="1:37" s="124" customFormat="1" ht="15" hidden="1" customHeight="1" x14ac:dyDescent="0.45">
      <c r="A271" s="140"/>
      <c r="B271" s="141"/>
      <c r="C271" s="143"/>
      <c r="D271" s="141"/>
      <c r="E271" s="141"/>
      <c r="F271" s="141"/>
      <c r="G271" s="141"/>
      <c r="H271" s="141"/>
      <c r="I271" s="141"/>
      <c r="J271" s="149"/>
      <c r="K271" s="149"/>
      <c r="L271" s="149"/>
      <c r="M271" s="141"/>
      <c r="N271" s="141"/>
      <c r="O271" s="141"/>
      <c r="P271" s="141"/>
      <c r="Q271" s="171"/>
      <c r="R271" s="162"/>
      <c r="S271" s="171"/>
      <c r="T271" s="171"/>
      <c r="U271" s="171"/>
      <c r="V271" s="171"/>
      <c r="W271" s="171"/>
      <c r="X271" s="171"/>
      <c r="Y271" s="171"/>
      <c r="Z271" s="171"/>
      <c r="AA271" s="171"/>
      <c r="AB271" s="171"/>
      <c r="AC271" s="171"/>
      <c r="AD271" s="171"/>
      <c r="AE271" s="171"/>
      <c r="AF271" s="171"/>
      <c r="AG271" s="171"/>
      <c r="AH271" s="162"/>
      <c r="AI271" s="141"/>
      <c r="AJ271" s="141"/>
    </row>
    <row r="272" spans="1:37" ht="84.9" hidden="1" customHeight="1" x14ac:dyDescent="0.45">
      <c r="A272" s="163">
        <v>1</v>
      </c>
      <c r="B272" s="19">
        <v>381</v>
      </c>
      <c r="C272" s="138" t="s">
        <v>458</v>
      </c>
      <c r="D272" s="19" t="s">
        <v>447</v>
      </c>
      <c r="E272" s="19" t="s">
        <v>414</v>
      </c>
      <c r="F272" s="19"/>
      <c r="G272" s="19">
        <v>1934</v>
      </c>
      <c r="H272" s="19">
        <v>5</v>
      </c>
      <c r="I272" s="19">
        <v>5</v>
      </c>
      <c r="J272" s="39">
        <v>4540</v>
      </c>
      <c r="K272" s="23">
        <v>4140.2</v>
      </c>
      <c r="L272" s="19" t="s">
        <v>364</v>
      </c>
      <c r="M272" s="19" t="s">
        <v>364</v>
      </c>
      <c r="N272" s="19" t="s">
        <v>365</v>
      </c>
      <c r="O272" s="19" t="s">
        <v>366</v>
      </c>
      <c r="P272" s="19" t="s">
        <v>415</v>
      </c>
      <c r="Q272" s="28"/>
      <c r="R272" s="37"/>
      <c r="S272" s="28"/>
      <c r="T272" s="28"/>
      <c r="U272" s="28"/>
      <c r="V272" s="28"/>
      <c r="W272" s="28"/>
      <c r="X272" s="28"/>
      <c r="Y272" s="28"/>
      <c r="Z272" s="28"/>
      <c r="AA272" s="170">
        <v>36621767.93</v>
      </c>
      <c r="AB272" s="28"/>
      <c r="AC272" s="170">
        <v>0</v>
      </c>
      <c r="AD272" s="170">
        <f>SUM(Q272:AC272)</f>
        <v>36621767.93</v>
      </c>
      <c r="AE272" s="170">
        <f t="shared" ref="AE272:AE276" si="74">AD272</f>
        <v>36621767.93</v>
      </c>
      <c r="AF272" s="28"/>
      <c r="AG272" s="28"/>
      <c r="AH272" s="37"/>
      <c r="AI272" s="19">
        <v>2022</v>
      </c>
      <c r="AJ272" s="19">
        <v>2023</v>
      </c>
      <c r="AK272" s="130" t="s">
        <v>416</v>
      </c>
    </row>
    <row r="273" spans="1:37" s="124" customFormat="1" ht="15" hidden="1" customHeight="1" x14ac:dyDescent="0.45">
      <c r="A273" s="140"/>
      <c r="B273" s="141"/>
      <c r="C273" s="143"/>
      <c r="D273" s="141"/>
      <c r="E273" s="141"/>
      <c r="F273" s="141"/>
      <c r="G273" s="141"/>
      <c r="H273" s="141"/>
      <c r="I273" s="141"/>
      <c r="J273" s="149"/>
      <c r="K273" s="149"/>
      <c r="L273" s="149"/>
      <c r="M273" s="141"/>
      <c r="N273" s="141"/>
      <c r="O273" s="141"/>
      <c r="P273" s="141"/>
      <c r="Q273" s="171"/>
      <c r="R273" s="162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62"/>
      <c r="AI273" s="141"/>
      <c r="AJ273" s="141"/>
    </row>
    <row r="274" spans="1:37" ht="84.9" hidden="1" customHeight="1" x14ac:dyDescent="0.45">
      <c r="A274" s="163">
        <v>1</v>
      </c>
      <c r="B274" s="19">
        <v>382</v>
      </c>
      <c r="C274" s="138" t="s">
        <v>459</v>
      </c>
      <c r="D274" s="19" t="s">
        <v>447</v>
      </c>
      <c r="E274" s="19" t="s">
        <v>414</v>
      </c>
      <c r="F274" s="19"/>
      <c r="G274" s="19">
        <v>1934</v>
      </c>
      <c r="H274" s="19">
        <v>5</v>
      </c>
      <c r="I274" s="19">
        <v>4</v>
      </c>
      <c r="J274" s="23">
        <v>3781</v>
      </c>
      <c r="K274" s="23">
        <v>3781</v>
      </c>
      <c r="L274" s="19" t="s">
        <v>364</v>
      </c>
      <c r="M274" s="19" t="s">
        <v>364</v>
      </c>
      <c r="N274" s="19" t="s">
        <v>460</v>
      </c>
      <c r="O274" s="19" t="s">
        <v>366</v>
      </c>
      <c r="P274" s="19" t="s">
        <v>415</v>
      </c>
      <c r="Q274" s="28"/>
      <c r="R274" s="37"/>
      <c r="S274" s="28"/>
      <c r="T274" s="28"/>
      <c r="U274" s="28"/>
      <c r="V274" s="28"/>
      <c r="W274" s="28"/>
      <c r="X274" s="28"/>
      <c r="Y274" s="28"/>
      <c r="Z274" s="28"/>
      <c r="AA274" s="170">
        <v>27135753.600000001</v>
      </c>
      <c r="AB274" s="28"/>
      <c r="AC274" s="170">
        <v>1871431.28</v>
      </c>
      <c r="AD274" s="170">
        <f>SUM(Q274+R274+S274+T274+U274+V274+W274+X274+Y274+Z274+AA274+AB274+AC274)</f>
        <v>29007184.880000003</v>
      </c>
      <c r="AE274" s="170">
        <f t="shared" si="74"/>
        <v>29007184.880000003</v>
      </c>
      <c r="AF274" s="28"/>
      <c r="AG274" s="28"/>
      <c r="AH274" s="37"/>
      <c r="AI274" s="19">
        <v>2022</v>
      </c>
      <c r="AJ274" s="19">
        <v>2023</v>
      </c>
      <c r="AK274" s="130" t="s">
        <v>416</v>
      </c>
    </row>
    <row r="275" spans="1:37" s="124" customFormat="1" ht="15" hidden="1" customHeight="1" x14ac:dyDescent="0.45">
      <c r="A275" s="140"/>
      <c r="B275" s="141"/>
      <c r="C275" s="143"/>
      <c r="D275" s="141"/>
      <c r="E275" s="141"/>
      <c r="F275" s="141"/>
      <c r="G275" s="141"/>
      <c r="H275" s="141"/>
      <c r="I275" s="141"/>
      <c r="J275" s="149"/>
      <c r="K275" s="149"/>
      <c r="L275" s="149"/>
      <c r="M275" s="141"/>
      <c r="N275" s="141"/>
      <c r="O275" s="141"/>
      <c r="P275" s="141"/>
      <c r="Q275" s="171"/>
      <c r="R275" s="162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62"/>
      <c r="AI275" s="141"/>
      <c r="AJ275" s="141"/>
    </row>
    <row r="276" spans="1:37" ht="84.9" hidden="1" customHeight="1" x14ac:dyDescent="0.45">
      <c r="A276" s="163">
        <v>1</v>
      </c>
      <c r="B276" s="19">
        <v>383</v>
      </c>
      <c r="C276" s="138" t="s">
        <v>461</v>
      </c>
      <c r="D276" s="19" t="s">
        <v>462</v>
      </c>
      <c r="E276" s="19" t="s">
        <v>414</v>
      </c>
      <c r="F276" s="19"/>
      <c r="G276" s="19">
        <v>1951</v>
      </c>
      <c r="H276" s="19">
        <v>6</v>
      </c>
      <c r="I276" s="19">
        <v>8</v>
      </c>
      <c r="J276" s="39">
        <v>9341.4</v>
      </c>
      <c r="K276" s="23">
        <v>9391.4</v>
      </c>
      <c r="L276" s="19">
        <v>6592.9</v>
      </c>
      <c r="M276" s="19">
        <v>167</v>
      </c>
      <c r="N276" s="19" t="s">
        <v>365</v>
      </c>
      <c r="O276" s="19" t="s">
        <v>366</v>
      </c>
      <c r="P276" s="19" t="s">
        <v>415</v>
      </c>
      <c r="Q276" s="28"/>
      <c r="R276" s="37"/>
      <c r="S276" s="28"/>
      <c r="T276" s="28"/>
      <c r="U276" s="28"/>
      <c r="V276" s="28"/>
      <c r="W276" s="28"/>
      <c r="X276" s="28"/>
      <c r="Y276" s="170">
        <v>29722288.239999998</v>
      </c>
      <c r="Z276" s="99">
        <v>2224781.42</v>
      </c>
      <c r="AA276" s="170">
        <v>54101026.630000003</v>
      </c>
      <c r="AB276" s="28"/>
      <c r="AC276" s="170">
        <v>0</v>
      </c>
      <c r="AD276" s="170">
        <f>SUM(Q276+R276+S276+T276+U276+V276+W276+X276+Y276+Z276+AA276+AB276+AC276)</f>
        <v>86048096.289999992</v>
      </c>
      <c r="AE276" s="170">
        <f t="shared" si="74"/>
        <v>86048096.289999992</v>
      </c>
      <c r="AF276" s="28"/>
      <c r="AG276" s="28"/>
      <c r="AH276" s="37"/>
      <c r="AI276" s="19">
        <v>2022</v>
      </c>
      <c r="AJ276" s="19">
        <v>2023</v>
      </c>
      <c r="AK276" s="130" t="s">
        <v>463</v>
      </c>
    </row>
    <row r="277" spans="1:37" s="124" customFormat="1" ht="15" hidden="1" customHeight="1" x14ac:dyDescent="0.45">
      <c r="A277" s="140"/>
      <c r="B277" s="141"/>
      <c r="C277" s="143"/>
      <c r="D277" s="141"/>
      <c r="E277" s="141"/>
      <c r="F277" s="141"/>
      <c r="G277" s="141"/>
      <c r="H277" s="141"/>
      <c r="I277" s="141"/>
      <c r="J277" s="149"/>
      <c r="K277" s="149"/>
      <c r="L277" s="149"/>
      <c r="M277" s="141"/>
      <c r="N277" s="141"/>
      <c r="O277" s="141"/>
      <c r="P277" s="141"/>
      <c r="Q277" s="171"/>
      <c r="R277" s="162"/>
      <c r="S277" s="171"/>
      <c r="T277" s="171"/>
      <c r="U277" s="171"/>
      <c r="V277" s="171"/>
      <c r="W277" s="171"/>
      <c r="X277" s="171"/>
      <c r="Y277" s="171"/>
      <c r="Z277" s="171"/>
      <c r="AA277" s="172">
        <v>56325808.049999997</v>
      </c>
      <c r="AB277" s="171"/>
      <c r="AC277" s="171"/>
      <c r="AD277" s="171"/>
      <c r="AE277" s="171"/>
      <c r="AF277" s="171"/>
      <c r="AG277" s="171"/>
      <c r="AH277" s="162"/>
      <c r="AI277" s="141"/>
      <c r="AJ277" s="141"/>
      <c r="AK277" s="124" t="s">
        <v>464</v>
      </c>
    </row>
    <row r="278" spans="1:37" ht="53.25" hidden="1" customHeight="1" x14ac:dyDescent="0.45">
      <c r="A278" s="163">
        <v>1</v>
      </c>
      <c r="B278" s="19">
        <v>1</v>
      </c>
      <c r="C278" s="145" t="s">
        <v>281</v>
      </c>
      <c r="D278" s="19" t="s">
        <v>381</v>
      </c>
      <c r="E278" s="146" t="s">
        <v>382</v>
      </c>
      <c r="F278" s="19" t="s">
        <v>383</v>
      </c>
      <c r="G278" s="19">
        <v>1997</v>
      </c>
      <c r="H278" s="19" t="s">
        <v>465</v>
      </c>
      <c r="I278" s="19" t="s">
        <v>466</v>
      </c>
      <c r="J278" s="23">
        <v>8087.1</v>
      </c>
      <c r="K278" s="23"/>
      <c r="L278" s="23"/>
      <c r="M278" s="19">
        <v>216</v>
      </c>
      <c r="N278" s="19" t="s">
        <v>365</v>
      </c>
      <c r="O278" s="19" t="s">
        <v>366</v>
      </c>
      <c r="P278" s="19"/>
      <c r="Q278" s="28"/>
      <c r="R278" s="194">
        <v>4754302.4800000004</v>
      </c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197">
        <v>248000</v>
      </c>
      <c r="AD278" s="157">
        <f t="shared" ref="AD278:AD282" si="75">R278+AC278</f>
        <v>5002302.4800000004</v>
      </c>
      <c r="AE278" s="157">
        <f t="shared" ref="AE278:AE282" si="76">AD278</f>
        <v>5002302.4800000004</v>
      </c>
      <c r="AF278" s="157"/>
      <c r="AG278" s="157"/>
      <c r="AH278" s="159"/>
      <c r="AI278" s="19">
        <v>2022</v>
      </c>
      <c r="AJ278" s="19">
        <v>2022</v>
      </c>
      <c r="AK278" s="130" t="s">
        <v>387</v>
      </c>
    </row>
    <row r="279" spans="1:37" s="124" customFormat="1" ht="15" hidden="1" customHeight="1" x14ac:dyDescent="0.45">
      <c r="A279" s="140"/>
      <c r="B279" s="141"/>
      <c r="C279" s="143"/>
      <c r="D279" s="141"/>
      <c r="E279" s="141"/>
      <c r="F279" s="141"/>
      <c r="G279" s="141"/>
      <c r="H279" s="141"/>
      <c r="I279" s="141"/>
      <c r="J279" s="149"/>
      <c r="K279" s="149"/>
      <c r="L279" s="149"/>
      <c r="M279" s="141"/>
      <c r="N279" s="141"/>
      <c r="O279" s="141"/>
      <c r="P279" s="141"/>
      <c r="Q279" s="171"/>
      <c r="R279" s="162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62"/>
      <c r="AI279" s="141"/>
      <c r="AJ279" s="141"/>
    </row>
    <row r="280" spans="1:37" ht="53.25" hidden="1" customHeight="1" x14ac:dyDescent="0.45">
      <c r="A280" s="163">
        <v>1</v>
      </c>
      <c r="B280" s="19">
        <v>1</v>
      </c>
      <c r="C280" s="145" t="s">
        <v>282</v>
      </c>
      <c r="D280" s="19" t="s">
        <v>381</v>
      </c>
      <c r="E280" s="146" t="s">
        <v>382</v>
      </c>
      <c r="F280" s="19" t="s">
        <v>383</v>
      </c>
      <c r="G280" s="19">
        <v>1994</v>
      </c>
      <c r="H280" s="19">
        <v>10</v>
      </c>
      <c r="I280" s="19">
        <v>1</v>
      </c>
      <c r="J280" s="23">
        <v>2475.1999999999998</v>
      </c>
      <c r="K280" s="23"/>
      <c r="L280" s="23"/>
      <c r="M280" s="19">
        <v>81</v>
      </c>
      <c r="N280" s="19" t="s">
        <v>365</v>
      </c>
      <c r="O280" s="19" t="s">
        <v>366</v>
      </c>
      <c r="P280" s="19"/>
      <c r="Q280" s="28"/>
      <c r="R280" s="194">
        <v>4754302.4800000004</v>
      </c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197">
        <v>248000</v>
      </c>
      <c r="AD280" s="157">
        <f t="shared" si="75"/>
        <v>5002302.4800000004</v>
      </c>
      <c r="AE280" s="157">
        <f t="shared" si="76"/>
        <v>5002302.4800000004</v>
      </c>
      <c r="AF280" s="157"/>
      <c r="AG280" s="157"/>
      <c r="AH280" s="159"/>
      <c r="AI280" s="19">
        <v>2022</v>
      </c>
      <c r="AJ280" s="19">
        <v>2022</v>
      </c>
      <c r="AK280" s="130" t="s">
        <v>387</v>
      </c>
    </row>
    <row r="281" spans="1:37" s="124" customFormat="1" ht="15" hidden="1" customHeight="1" x14ac:dyDescent="0.45">
      <c r="A281" s="140"/>
      <c r="B281" s="141"/>
      <c r="C281" s="143"/>
      <c r="D281" s="141"/>
      <c r="E281" s="141"/>
      <c r="F281" s="141"/>
      <c r="G281" s="141"/>
      <c r="H281" s="141"/>
      <c r="I281" s="141"/>
      <c r="J281" s="149"/>
      <c r="K281" s="149"/>
      <c r="L281" s="149"/>
      <c r="M281" s="141"/>
      <c r="N281" s="141"/>
      <c r="O281" s="141"/>
      <c r="P281" s="141"/>
      <c r="Q281" s="171"/>
      <c r="R281" s="162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162"/>
      <c r="AI281" s="141"/>
      <c r="AJ281" s="141"/>
    </row>
    <row r="282" spans="1:37" ht="53.25" hidden="1" customHeight="1" x14ac:dyDescent="0.45">
      <c r="A282" s="163">
        <v>1</v>
      </c>
      <c r="B282" s="19">
        <v>1</v>
      </c>
      <c r="C282" s="145" t="s">
        <v>283</v>
      </c>
      <c r="D282" s="19" t="s">
        <v>381</v>
      </c>
      <c r="E282" s="146" t="s">
        <v>382</v>
      </c>
      <c r="F282" s="19" t="s">
        <v>383</v>
      </c>
      <c r="G282" s="19">
        <v>1995</v>
      </c>
      <c r="H282" s="19">
        <v>10</v>
      </c>
      <c r="I282" s="19">
        <v>1</v>
      </c>
      <c r="J282" s="23">
        <v>2620.1999999999998</v>
      </c>
      <c r="K282" s="23"/>
      <c r="L282" s="23"/>
      <c r="M282" s="19">
        <v>109</v>
      </c>
      <c r="N282" s="19" t="s">
        <v>365</v>
      </c>
      <c r="O282" s="19" t="s">
        <v>366</v>
      </c>
      <c r="P282" s="19"/>
      <c r="Q282" s="28"/>
      <c r="R282" s="194">
        <v>2377151.2400000002</v>
      </c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197">
        <v>124000</v>
      </c>
      <c r="AD282" s="157">
        <f t="shared" si="75"/>
        <v>2501151.2400000002</v>
      </c>
      <c r="AE282" s="157">
        <f t="shared" si="76"/>
        <v>2501151.2400000002</v>
      </c>
      <c r="AF282" s="157"/>
      <c r="AG282" s="157"/>
      <c r="AH282" s="159"/>
      <c r="AI282" s="19">
        <v>2022</v>
      </c>
      <c r="AJ282" s="19">
        <v>2022</v>
      </c>
      <c r="AK282" s="130" t="s">
        <v>387</v>
      </c>
    </row>
    <row r="283" spans="1:37" s="124" customFormat="1" ht="15" hidden="1" customHeight="1" x14ac:dyDescent="0.45">
      <c r="A283" s="140"/>
      <c r="B283" s="141"/>
      <c r="C283" s="143"/>
      <c r="D283" s="141"/>
      <c r="E283" s="141"/>
      <c r="F283" s="141"/>
      <c r="G283" s="141"/>
      <c r="H283" s="141"/>
      <c r="I283" s="141"/>
      <c r="J283" s="149"/>
      <c r="K283" s="149"/>
      <c r="L283" s="149"/>
      <c r="M283" s="141"/>
      <c r="N283" s="141"/>
      <c r="O283" s="141"/>
      <c r="P283" s="141"/>
      <c r="Q283" s="171"/>
      <c r="R283" s="162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162"/>
      <c r="AI283" s="141"/>
      <c r="AJ283" s="141"/>
    </row>
    <row r="284" spans="1:37" ht="66" hidden="1" customHeight="1" x14ac:dyDescent="0.45">
      <c r="A284" s="163">
        <v>1</v>
      </c>
      <c r="B284" s="19">
        <v>1</v>
      </c>
      <c r="C284" s="147" t="s">
        <v>284</v>
      </c>
      <c r="D284" s="19" t="s">
        <v>381</v>
      </c>
      <c r="E284" s="146" t="s">
        <v>382</v>
      </c>
      <c r="F284" s="19" t="s">
        <v>383</v>
      </c>
      <c r="G284" s="19">
        <v>1974</v>
      </c>
      <c r="H284" s="19">
        <v>9</v>
      </c>
      <c r="I284" s="19">
        <v>2</v>
      </c>
      <c r="J284" s="23">
        <v>3884.9</v>
      </c>
      <c r="K284" s="23">
        <v>3884.9</v>
      </c>
      <c r="L284" s="23">
        <v>3884.9</v>
      </c>
      <c r="M284" s="19">
        <v>166</v>
      </c>
      <c r="N284" s="19" t="s">
        <v>365</v>
      </c>
      <c r="O284" s="19" t="s">
        <v>366</v>
      </c>
      <c r="P284" s="19"/>
      <c r="Q284" s="28"/>
      <c r="R284" s="37"/>
      <c r="S284" s="28"/>
      <c r="T284" s="28"/>
      <c r="U284" s="28"/>
      <c r="V284" s="28"/>
      <c r="W284" s="28"/>
      <c r="X284" s="160">
        <v>3702831.57</v>
      </c>
      <c r="Y284" s="157"/>
      <c r="Z284" s="28"/>
      <c r="AA284" s="28"/>
      <c r="AB284" s="157"/>
      <c r="AC284" s="160">
        <v>151890.07999999999</v>
      </c>
      <c r="AD284" s="157">
        <f t="shared" ref="AD284:AD288" si="77">X284+AC284</f>
        <v>3854721.65</v>
      </c>
      <c r="AE284" s="157"/>
      <c r="AF284" s="157"/>
      <c r="AG284" s="157">
        <f t="shared" ref="AG284:AG288" si="78">AD284</f>
        <v>3854721.65</v>
      </c>
      <c r="AH284" s="159"/>
      <c r="AI284" s="19">
        <v>2022</v>
      </c>
      <c r="AJ284" s="19">
        <v>2022</v>
      </c>
      <c r="AK284" s="130" t="s">
        <v>393</v>
      </c>
    </row>
    <row r="285" spans="1:37" s="124" customFormat="1" ht="15" hidden="1" customHeight="1" x14ac:dyDescent="0.45">
      <c r="A285" s="140"/>
      <c r="B285" s="141"/>
      <c r="C285" s="143"/>
      <c r="D285" s="141"/>
      <c r="E285" s="141"/>
      <c r="F285" s="141"/>
      <c r="G285" s="141"/>
      <c r="H285" s="141"/>
      <c r="I285" s="141"/>
      <c r="J285" s="149"/>
      <c r="K285" s="149"/>
      <c r="L285" s="149"/>
      <c r="M285" s="141"/>
      <c r="N285" s="141"/>
      <c r="O285" s="141"/>
      <c r="P285" s="141"/>
      <c r="Q285" s="171"/>
      <c r="R285" s="162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62"/>
      <c r="AI285" s="141"/>
      <c r="AJ285" s="141"/>
    </row>
    <row r="286" spans="1:37" ht="66" hidden="1" customHeight="1" x14ac:dyDescent="0.45">
      <c r="A286" s="163">
        <v>1</v>
      </c>
      <c r="B286" s="19">
        <v>1</v>
      </c>
      <c r="C286" s="147" t="s">
        <v>285</v>
      </c>
      <c r="D286" s="19" t="s">
        <v>381</v>
      </c>
      <c r="E286" s="146" t="s">
        <v>382</v>
      </c>
      <c r="F286" s="19" t="s">
        <v>383</v>
      </c>
      <c r="G286" s="19">
        <v>1974</v>
      </c>
      <c r="H286" s="19">
        <v>9</v>
      </c>
      <c r="I286" s="19">
        <v>2</v>
      </c>
      <c r="J286" s="23">
        <v>3857.1</v>
      </c>
      <c r="K286" s="23">
        <v>3857.1</v>
      </c>
      <c r="L286" s="23">
        <v>3857.1</v>
      </c>
      <c r="M286" s="19">
        <v>164</v>
      </c>
      <c r="N286" s="19" t="s">
        <v>365</v>
      </c>
      <c r="O286" s="19" t="s">
        <v>366</v>
      </c>
      <c r="P286" s="19"/>
      <c r="Q286" s="28"/>
      <c r="R286" s="37"/>
      <c r="S286" s="28"/>
      <c r="T286" s="28"/>
      <c r="U286" s="28"/>
      <c r="V286" s="28"/>
      <c r="W286" s="28"/>
      <c r="X286" s="160">
        <v>3702831.57</v>
      </c>
      <c r="Y286" s="157"/>
      <c r="Z286" s="28"/>
      <c r="AA286" s="28"/>
      <c r="AB286" s="157"/>
      <c r="AC286" s="160">
        <v>151890.07999999999</v>
      </c>
      <c r="AD286" s="157">
        <f t="shared" si="77"/>
        <v>3854721.65</v>
      </c>
      <c r="AE286" s="157"/>
      <c r="AF286" s="157"/>
      <c r="AG286" s="157">
        <f t="shared" si="78"/>
        <v>3854721.65</v>
      </c>
      <c r="AH286" s="159"/>
      <c r="AI286" s="19">
        <v>2022</v>
      </c>
      <c r="AJ286" s="19">
        <v>2022</v>
      </c>
      <c r="AK286" s="130" t="s">
        <v>393</v>
      </c>
    </row>
    <row r="287" spans="1:37" s="124" customFormat="1" ht="15" hidden="1" customHeight="1" x14ac:dyDescent="0.45">
      <c r="A287" s="140"/>
      <c r="B287" s="141"/>
      <c r="C287" s="143"/>
      <c r="D287" s="141"/>
      <c r="E287" s="141"/>
      <c r="F287" s="141"/>
      <c r="G287" s="141"/>
      <c r="H287" s="141"/>
      <c r="I287" s="141"/>
      <c r="J287" s="149"/>
      <c r="K287" s="149"/>
      <c r="L287" s="149"/>
      <c r="M287" s="141"/>
      <c r="N287" s="141"/>
      <c r="O287" s="141"/>
      <c r="P287" s="141"/>
      <c r="Q287" s="171"/>
      <c r="R287" s="162"/>
      <c r="S287" s="171"/>
      <c r="T287" s="171"/>
      <c r="U287" s="171"/>
      <c r="V287" s="171"/>
      <c r="W287" s="171"/>
      <c r="X287" s="171"/>
      <c r="Y287" s="171"/>
      <c r="Z287" s="171"/>
      <c r="AA287" s="171"/>
      <c r="AB287" s="171"/>
      <c r="AC287" s="171"/>
      <c r="AD287" s="171"/>
      <c r="AE287" s="171"/>
      <c r="AF287" s="171"/>
      <c r="AG287" s="171"/>
      <c r="AH287" s="162"/>
      <c r="AI287" s="141"/>
      <c r="AJ287" s="141"/>
    </row>
    <row r="288" spans="1:37" ht="66" hidden="1" customHeight="1" x14ac:dyDescent="0.45">
      <c r="A288" s="163">
        <v>1</v>
      </c>
      <c r="B288" s="19">
        <v>1</v>
      </c>
      <c r="C288" s="147" t="s">
        <v>286</v>
      </c>
      <c r="D288" s="19" t="s">
        <v>381</v>
      </c>
      <c r="E288" s="146" t="s">
        <v>382</v>
      </c>
      <c r="F288" s="19" t="s">
        <v>383</v>
      </c>
      <c r="G288" s="19">
        <v>1974</v>
      </c>
      <c r="H288" s="19">
        <v>9</v>
      </c>
      <c r="I288" s="19">
        <v>2</v>
      </c>
      <c r="J288" s="23">
        <v>3828.6</v>
      </c>
      <c r="K288" s="23">
        <v>3828.6</v>
      </c>
      <c r="L288" s="23">
        <v>3828.6</v>
      </c>
      <c r="M288" s="19">
        <v>160</v>
      </c>
      <c r="N288" s="19" t="s">
        <v>365</v>
      </c>
      <c r="O288" s="19" t="s">
        <v>366</v>
      </c>
      <c r="P288" s="19"/>
      <c r="Q288" s="28"/>
      <c r="R288" s="37"/>
      <c r="S288" s="28"/>
      <c r="T288" s="28"/>
      <c r="U288" s="28"/>
      <c r="V288" s="28"/>
      <c r="W288" s="28"/>
      <c r="X288" s="160">
        <v>3702831.57</v>
      </c>
      <c r="Y288" s="157"/>
      <c r="Z288" s="28"/>
      <c r="AA288" s="28"/>
      <c r="AB288" s="157"/>
      <c r="AC288" s="160">
        <v>151890.07999999999</v>
      </c>
      <c r="AD288" s="157">
        <f t="shared" si="77"/>
        <v>3854721.65</v>
      </c>
      <c r="AE288" s="157"/>
      <c r="AF288" s="157"/>
      <c r="AG288" s="157">
        <f t="shared" si="78"/>
        <v>3854721.65</v>
      </c>
      <c r="AH288" s="159"/>
      <c r="AI288" s="19">
        <v>2022</v>
      </c>
      <c r="AJ288" s="19">
        <v>2022</v>
      </c>
      <c r="AK288" s="130" t="s">
        <v>393</v>
      </c>
    </row>
    <row r="289" spans="1:37" s="124" customFormat="1" ht="15" hidden="1" customHeight="1" x14ac:dyDescent="0.45">
      <c r="A289" s="140"/>
      <c r="B289" s="141"/>
      <c r="C289" s="143"/>
      <c r="D289" s="141"/>
      <c r="E289" s="141"/>
      <c r="F289" s="141"/>
      <c r="G289" s="141"/>
      <c r="H289" s="141"/>
      <c r="I289" s="141"/>
      <c r="J289" s="149"/>
      <c r="K289" s="149"/>
      <c r="L289" s="149"/>
      <c r="M289" s="141"/>
      <c r="N289" s="141"/>
      <c r="O289" s="141"/>
      <c r="P289" s="141"/>
      <c r="Q289" s="171"/>
      <c r="R289" s="162"/>
      <c r="S289" s="171"/>
      <c r="T289" s="171"/>
      <c r="U289" s="171"/>
      <c r="V289" s="171"/>
      <c r="W289" s="171"/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162"/>
      <c r="AI289" s="141"/>
      <c r="AJ289" s="141"/>
    </row>
    <row r="290" spans="1:37" ht="84.9" hidden="1" customHeight="1" x14ac:dyDescent="0.45">
      <c r="A290" s="163">
        <v>1</v>
      </c>
      <c r="B290" s="19">
        <v>263</v>
      </c>
      <c r="C290" s="138" t="s">
        <v>467</v>
      </c>
      <c r="D290" s="19"/>
      <c r="E290" s="19" t="s">
        <v>445</v>
      </c>
      <c r="F290" s="19" t="s">
        <v>370</v>
      </c>
      <c r="G290" s="19">
        <v>1954</v>
      </c>
      <c r="H290" s="19">
        <v>5</v>
      </c>
      <c r="I290" s="19">
        <v>4</v>
      </c>
      <c r="J290" s="39" t="s">
        <v>468</v>
      </c>
      <c r="K290" s="23">
        <v>2284.9</v>
      </c>
      <c r="L290" s="23" t="s">
        <v>364</v>
      </c>
      <c r="M290" s="19" t="s">
        <v>364</v>
      </c>
      <c r="N290" s="19" t="s">
        <v>365</v>
      </c>
      <c r="O290" s="19" t="s">
        <v>366</v>
      </c>
      <c r="P290" s="19"/>
      <c r="Q290" s="28"/>
      <c r="R290" s="37"/>
      <c r="S290" s="28"/>
      <c r="T290" s="28"/>
      <c r="U290" s="28"/>
      <c r="V290" s="28"/>
      <c r="W290" s="28"/>
      <c r="X290" s="28"/>
      <c r="Y290" s="28">
        <f>ROUND(3727.29*K290*1.015,2)</f>
        <v>8644232.1899999995</v>
      </c>
      <c r="Z290" s="28"/>
      <c r="AA290" s="28"/>
      <c r="AB290" s="28"/>
      <c r="AC290" s="28">
        <v>506206.99</v>
      </c>
      <c r="AD290" s="28">
        <f t="shared" ref="AD290:AD294" si="79">SUM(Q290:AC290)</f>
        <v>9150439.1799999997</v>
      </c>
      <c r="AE290" s="28"/>
      <c r="AF290" s="28"/>
      <c r="AG290" s="28">
        <f t="shared" ref="AG290:AG294" si="80">SUM(Q290:AC290)</f>
        <v>9150439.1799999997</v>
      </c>
      <c r="AH290" s="37"/>
      <c r="AI290" s="19">
        <v>2020</v>
      </c>
      <c r="AJ290" s="19">
        <v>2022</v>
      </c>
    </row>
    <row r="291" spans="1:37" s="124" customFormat="1" ht="15" hidden="1" customHeight="1" x14ac:dyDescent="0.45">
      <c r="A291" s="140"/>
      <c r="B291" s="141"/>
      <c r="C291" s="143"/>
      <c r="D291" s="141"/>
      <c r="E291" s="141"/>
      <c r="F291" s="141"/>
      <c r="G291" s="141"/>
      <c r="H291" s="141"/>
      <c r="I291" s="141"/>
      <c r="J291" s="168"/>
      <c r="K291" s="149"/>
      <c r="L291" s="149"/>
      <c r="M291" s="141"/>
      <c r="N291" s="141"/>
      <c r="O291" s="141"/>
      <c r="P291" s="141"/>
      <c r="Q291" s="171"/>
      <c r="R291" s="162"/>
      <c r="S291" s="171"/>
      <c r="T291" s="171"/>
      <c r="U291" s="171"/>
      <c r="V291" s="171"/>
      <c r="W291" s="171"/>
      <c r="X291" s="171"/>
      <c r="Y291" s="171">
        <v>8644232.1899999995</v>
      </c>
      <c r="Z291" s="171"/>
      <c r="AA291" s="171"/>
      <c r="AB291" s="171"/>
      <c r="AC291" s="171">
        <v>506206.99</v>
      </c>
      <c r="AD291" s="171">
        <v>9150439.1799999997</v>
      </c>
      <c r="AE291" s="171"/>
      <c r="AF291" s="171"/>
      <c r="AG291" s="171">
        <v>9150439.1799999997</v>
      </c>
      <c r="AH291" s="162"/>
      <c r="AI291" s="141"/>
      <c r="AJ291" s="141"/>
    </row>
    <row r="292" spans="1:37" ht="84.9" hidden="1" customHeight="1" x14ac:dyDescent="0.45">
      <c r="A292" s="163">
        <v>1</v>
      </c>
      <c r="B292" s="19">
        <v>264</v>
      </c>
      <c r="C292" s="138" t="s">
        <v>469</v>
      </c>
      <c r="D292" s="19" t="s">
        <v>362</v>
      </c>
      <c r="E292" s="19"/>
      <c r="F292" s="19" t="s">
        <v>376</v>
      </c>
      <c r="G292" s="19">
        <v>1949</v>
      </c>
      <c r="H292" s="19">
        <v>2</v>
      </c>
      <c r="I292" s="19">
        <v>2</v>
      </c>
      <c r="J292" s="39">
        <v>1021.7</v>
      </c>
      <c r="K292" s="23">
        <v>930.4</v>
      </c>
      <c r="L292" s="23">
        <v>1021.7</v>
      </c>
      <c r="M292" s="19">
        <v>14</v>
      </c>
      <c r="N292" s="19" t="s">
        <v>365</v>
      </c>
      <c r="O292" s="19" t="s">
        <v>366</v>
      </c>
      <c r="P292" s="19"/>
      <c r="Q292" s="28">
        <v>581959.39</v>
      </c>
      <c r="R292" s="37">
        <v>2770315.54</v>
      </c>
      <c r="S292" s="28">
        <v>565282.06000000006</v>
      </c>
      <c r="T292" s="28">
        <v>622651.68999999994</v>
      </c>
      <c r="U292" s="19"/>
      <c r="V292" s="28">
        <v>959257.94</v>
      </c>
      <c r="W292" s="28"/>
      <c r="X292" s="28"/>
      <c r="Y292" s="28">
        <v>8164250.3700000001</v>
      </c>
      <c r="Z292" s="28"/>
      <c r="AA292" s="28"/>
      <c r="AB292" s="28"/>
      <c r="AC292" s="99">
        <v>1373652.8</v>
      </c>
      <c r="AD292" s="99">
        <f t="shared" si="79"/>
        <v>15037369.789999999</v>
      </c>
      <c r="AE292" s="28"/>
      <c r="AF292" s="28"/>
      <c r="AG292" s="28">
        <f t="shared" si="80"/>
        <v>15037369.789999999</v>
      </c>
      <c r="AH292" s="37"/>
      <c r="AI292" s="19" t="s">
        <v>470</v>
      </c>
      <c r="AJ292" s="19" t="s">
        <v>471</v>
      </c>
    </row>
    <row r="293" spans="1:37" s="124" customFormat="1" ht="15" hidden="1" customHeight="1" x14ac:dyDescent="0.45">
      <c r="A293" s="140"/>
      <c r="B293" s="141"/>
      <c r="C293" s="143"/>
      <c r="D293" s="141"/>
      <c r="E293" s="141"/>
      <c r="F293" s="141"/>
      <c r="G293" s="141"/>
      <c r="H293" s="141"/>
      <c r="I293" s="141"/>
      <c r="J293" s="168"/>
      <c r="K293" s="149"/>
      <c r="L293" s="149"/>
      <c r="M293" s="141"/>
      <c r="N293" s="141"/>
      <c r="O293" s="141"/>
      <c r="P293" s="141"/>
      <c r="Q293" s="155">
        <v>581959.39</v>
      </c>
      <c r="R293" s="156">
        <v>2770315.54</v>
      </c>
      <c r="S293" s="155">
        <v>565282.06000000006</v>
      </c>
      <c r="T293" s="155">
        <v>622651.68999999994</v>
      </c>
      <c r="U293" s="154"/>
      <c r="V293" s="155">
        <v>959257.94</v>
      </c>
      <c r="W293" s="155"/>
      <c r="X293" s="155"/>
      <c r="Y293" s="155">
        <v>8164250.3700000001</v>
      </c>
      <c r="Z293" s="155"/>
      <c r="AA293" s="155"/>
      <c r="AB293" s="155"/>
      <c r="AC293" s="155">
        <v>1685295.5</v>
      </c>
      <c r="AD293" s="155">
        <f t="shared" si="79"/>
        <v>15349012.489999998</v>
      </c>
      <c r="AE293" s="155"/>
      <c r="AF293" s="155"/>
      <c r="AG293" s="155">
        <f t="shared" si="80"/>
        <v>15349012.489999998</v>
      </c>
      <c r="AH293" s="156"/>
      <c r="AI293" s="141"/>
      <c r="AJ293" s="141"/>
    </row>
    <row r="294" spans="1:37" ht="96" hidden="1" customHeight="1" x14ac:dyDescent="0.45">
      <c r="A294" s="163">
        <v>1</v>
      </c>
      <c r="B294" s="19">
        <v>265</v>
      </c>
      <c r="C294" s="138" t="s">
        <v>472</v>
      </c>
      <c r="D294" s="19"/>
      <c r="E294" s="19" t="s">
        <v>369</v>
      </c>
      <c r="F294" s="19" t="s">
        <v>473</v>
      </c>
      <c r="G294" s="19">
        <v>1957</v>
      </c>
      <c r="H294" s="19">
        <v>4</v>
      </c>
      <c r="I294" s="19">
        <v>3</v>
      </c>
      <c r="J294" s="23">
        <v>2566.1999999999998</v>
      </c>
      <c r="K294" s="23">
        <v>1741.8</v>
      </c>
      <c r="L294" s="23" t="s">
        <v>364</v>
      </c>
      <c r="M294" s="19" t="s">
        <v>364</v>
      </c>
      <c r="N294" s="19" t="s">
        <v>365</v>
      </c>
      <c r="O294" s="19" t="s">
        <v>366</v>
      </c>
      <c r="P294" s="19"/>
      <c r="Q294" s="28"/>
      <c r="R294" s="37"/>
      <c r="S294" s="28"/>
      <c r="T294" s="28"/>
      <c r="U294" s="28"/>
      <c r="V294" s="28"/>
      <c r="W294" s="28"/>
      <c r="X294" s="28"/>
      <c r="Y294" s="28">
        <f>ROUND(4075.29*K294*1.015,2)</f>
        <v>7204815.2199999997</v>
      </c>
      <c r="Z294" s="28"/>
      <c r="AA294" s="28"/>
      <c r="AB294" s="28"/>
      <c r="AC294" s="28">
        <v>368408.7</v>
      </c>
      <c r="AD294" s="28">
        <f t="shared" si="79"/>
        <v>7573223.9199999999</v>
      </c>
      <c r="AE294" s="28"/>
      <c r="AF294" s="28"/>
      <c r="AG294" s="28">
        <f t="shared" si="80"/>
        <v>7573223.9199999999</v>
      </c>
      <c r="AH294" s="37"/>
      <c r="AI294" s="19">
        <v>2020</v>
      </c>
      <c r="AJ294" s="19">
        <v>2022</v>
      </c>
    </row>
    <row r="295" spans="1:37" s="124" customFormat="1" ht="15" hidden="1" customHeight="1" x14ac:dyDescent="0.45">
      <c r="A295" s="140"/>
      <c r="B295" s="141"/>
      <c r="C295" s="143"/>
      <c r="D295" s="141"/>
      <c r="E295" s="141"/>
      <c r="F295" s="141"/>
      <c r="G295" s="141"/>
      <c r="H295" s="141"/>
      <c r="I295" s="141"/>
      <c r="J295" s="149"/>
      <c r="K295" s="149"/>
      <c r="L295" s="149"/>
      <c r="M295" s="141"/>
      <c r="N295" s="141"/>
      <c r="O295" s="141"/>
      <c r="P295" s="141"/>
      <c r="Q295" s="171"/>
      <c r="R295" s="162"/>
      <c r="S295" s="171"/>
      <c r="T295" s="171"/>
      <c r="U295" s="171"/>
      <c r="V295" s="171"/>
      <c r="W295" s="171"/>
      <c r="X295" s="171"/>
      <c r="Y295" s="171">
        <v>7204815.2199999997</v>
      </c>
      <c r="Z295" s="171"/>
      <c r="AA295" s="171"/>
      <c r="AB295" s="171"/>
      <c r="AC295" s="171">
        <v>368408.7</v>
      </c>
      <c r="AD295" s="171">
        <v>7573223.9199999999</v>
      </c>
      <c r="AE295" s="171"/>
      <c r="AF295" s="171"/>
      <c r="AG295" s="171">
        <v>7573223.9199999999</v>
      </c>
      <c r="AH295" s="162"/>
      <c r="AI295" s="141"/>
      <c r="AJ295" s="141"/>
    </row>
    <row r="296" spans="1:37" ht="84.9" hidden="1" customHeight="1" x14ac:dyDescent="0.45">
      <c r="A296" s="163">
        <v>1</v>
      </c>
      <c r="B296" s="19">
        <v>266</v>
      </c>
      <c r="C296" s="138" t="s">
        <v>474</v>
      </c>
      <c r="D296" s="19"/>
      <c r="E296" s="19"/>
      <c r="F296" s="19" t="s">
        <v>376</v>
      </c>
      <c r="G296" s="19">
        <v>1958</v>
      </c>
      <c r="H296" s="19">
        <v>3</v>
      </c>
      <c r="I296" s="19">
        <v>1</v>
      </c>
      <c r="J296" s="23">
        <v>617.70000000000005</v>
      </c>
      <c r="K296" s="23">
        <v>405</v>
      </c>
      <c r="L296" s="23">
        <v>405</v>
      </c>
      <c r="M296" s="19">
        <v>25</v>
      </c>
      <c r="N296" s="19" t="s">
        <v>365</v>
      </c>
      <c r="O296" s="19" t="s">
        <v>366</v>
      </c>
      <c r="P296" s="19"/>
      <c r="Q296" s="28"/>
      <c r="R296" s="37"/>
      <c r="S296" s="28"/>
      <c r="T296" s="28"/>
      <c r="U296" s="28"/>
      <c r="V296" s="28"/>
      <c r="W296" s="28"/>
      <c r="X296" s="28"/>
      <c r="Y296" s="28">
        <v>3263881.88</v>
      </c>
      <c r="Z296" s="28"/>
      <c r="AA296" s="28"/>
      <c r="AB296" s="28"/>
      <c r="AC296" s="28">
        <v>192938.83</v>
      </c>
      <c r="AD296" s="28">
        <f t="shared" ref="AD296:AD298" si="81">SUM(Q296:AC296)</f>
        <v>3456820.71</v>
      </c>
      <c r="AE296" s="28"/>
      <c r="AF296" s="28"/>
      <c r="AG296" s="28">
        <f>SUM(Y296+AC296)</f>
        <v>3456820.71</v>
      </c>
      <c r="AH296" s="37"/>
      <c r="AI296" s="19">
        <v>2022</v>
      </c>
      <c r="AJ296" s="19">
        <v>2022</v>
      </c>
    </row>
    <row r="297" spans="1:37" s="124" customFormat="1" ht="15" hidden="1" customHeight="1" x14ac:dyDescent="0.45">
      <c r="A297" s="140"/>
      <c r="B297" s="141"/>
      <c r="C297" s="143"/>
      <c r="D297" s="141"/>
      <c r="E297" s="141"/>
      <c r="F297" s="141"/>
      <c r="G297" s="141"/>
      <c r="H297" s="141"/>
      <c r="I297" s="141"/>
      <c r="J297" s="149"/>
      <c r="K297" s="149"/>
      <c r="L297" s="149"/>
      <c r="M297" s="141"/>
      <c r="N297" s="141"/>
      <c r="O297" s="141"/>
      <c r="P297" s="141"/>
      <c r="Q297" s="155"/>
      <c r="R297" s="156"/>
      <c r="S297" s="155"/>
      <c r="T297" s="155"/>
      <c r="U297" s="155"/>
      <c r="V297" s="155"/>
      <c r="W297" s="155"/>
      <c r="X297" s="155"/>
      <c r="Y297" s="155">
        <v>3263881.88</v>
      </c>
      <c r="Z297" s="155"/>
      <c r="AA297" s="155"/>
      <c r="AB297" s="155"/>
      <c r="AC297" s="155">
        <v>192938.83</v>
      </c>
      <c r="AD297" s="155">
        <f t="shared" si="81"/>
        <v>3456820.71</v>
      </c>
      <c r="AE297" s="155"/>
      <c r="AF297" s="155"/>
      <c r="AG297" s="155">
        <f>SUM(Y297+AC297)</f>
        <v>3456820.71</v>
      </c>
      <c r="AH297" s="156"/>
      <c r="AI297" s="141"/>
      <c r="AJ297" s="141"/>
    </row>
    <row r="298" spans="1:37" ht="84.9" hidden="1" customHeight="1" x14ac:dyDescent="0.45">
      <c r="A298" s="163">
        <v>1</v>
      </c>
      <c r="B298" s="19">
        <v>267</v>
      </c>
      <c r="C298" s="138" t="s">
        <v>475</v>
      </c>
      <c r="D298" s="19"/>
      <c r="E298" s="19" t="s">
        <v>476</v>
      </c>
      <c r="F298" s="19" t="s">
        <v>370</v>
      </c>
      <c r="G298" s="19">
        <v>1962</v>
      </c>
      <c r="H298" s="19">
        <v>5</v>
      </c>
      <c r="I298" s="19">
        <v>4</v>
      </c>
      <c r="J298" s="39" t="s">
        <v>477</v>
      </c>
      <c r="K298" s="23">
        <v>2559.9</v>
      </c>
      <c r="L298" s="23" t="s">
        <v>364</v>
      </c>
      <c r="M298" s="19" t="s">
        <v>364</v>
      </c>
      <c r="N298" s="19" t="s">
        <v>365</v>
      </c>
      <c r="O298" s="19" t="s">
        <v>366</v>
      </c>
      <c r="P298" s="19"/>
      <c r="Q298" s="28"/>
      <c r="R298" s="37"/>
      <c r="S298" s="28"/>
      <c r="T298" s="28"/>
      <c r="U298" s="28"/>
      <c r="V298" s="28"/>
      <c r="W298" s="28"/>
      <c r="X298" s="28"/>
      <c r="Y298" s="28">
        <f>ROUND(3727.29*K298*1.015,2)</f>
        <v>9684612.0199999996</v>
      </c>
      <c r="Z298" s="28"/>
      <c r="AA298" s="28"/>
      <c r="AB298" s="28"/>
      <c r="AC298" s="28">
        <v>503531.44</v>
      </c>
      <c r="AD298" s="28">
        <f t="shared" si="81"/>
        <v>10188143.459999999</v>
      </c>
      <c r="AE298" s="28"/>
      <c r="AF298" s="28"/>
      <c r="AG298" s="28">
        <f>SUM(Q298:AC298)</f>
        <v>10188143.459999999</v>
      </c>
      <c r="AH298" s="37"/>
      <c r="AI298" s="19">
        <v>2020</v>
      </c>
      <c r="AJ298" s="19">
        <v>2022</v>
      </c>
    </row>
    <row r="299" spans="1:37" s="124" customFormat="1" ht="15" hidden="1" customHeight="1" x14ac:dyDescent="0.45">
      <c r="A299" s="140"/>
      <c r="B299" s="141"/>
      <c r="C299" s="143"/>
      <c r="D299" s="141"/>
      <c r="E299" s="141"/>
      <c r="F299" s="141"/>
      <c r="G299" s="141"/>
      <c r="H299" s="141"/>
      <c r="I299" s="141"/>
      <c r="J299" s="168"/>
      <c r="K299" s="149"/>
      <c r="L299" s="149"/>
      <c r="M299" s="141"/>
      <c r="N299" s="141"/>
      <c r="O299" s="141"/>
      <c r="P299" s="141"/>
      <c r="Q299" s="155"/>
      <c r="R299" s="156"/>
      <c r="S299" s="155"/>
      <c r="T299" s="155"/>
      <c r="U299" s="155"/>
      <c r="V299" s="155"/>
      <c r="W299" s="155"/>
      <c r="X299" s="155"/>
      <c r="Y299" s="155">
        <v>9684612.0199999996</v>
      </c>
      <c r="Z299" s="155"/>
      <c r="AA299" s="155"/>
      <c r="AB299" s="155"/>
      <c r="AC299" s="155">
        <v>503531.44</v>
      </c>
      <c r="AD299" s="155">
        <v>10188143.460000001</v>
      </c>
      <c r="AE299" s="155"/>
      <c r="AF299" s="155"/>
      <c r="AG299" s="155">
        <v>10188143.460000001</v>
      </c>
      <c r="AH299" s="156"/>
      <c r="AI299" s="141"/>
      <c r="AJ299" s="141"/>
    </row>
    <row r="300" spans="1:37" ht="84.9" hidden="1" customHeight="1" x14ac:dyDescent="0.45">
      <c r="A300" s="163">
        <v>1</v>
      </c>
      <c r="B300" s="19">
        <v>268</v>
      </c>
      <c r="C300" s="138" t="s">
        <v>478</v>
      </c>
      <c r="D300" s="19" t="s">
        <v>362</v>
      </c>
      <c r="E300" s="19" t="s">
        <v>445</v>
      </c>
      <c r="F300" s="19" t="s">
        <v>370</v>
      </c>
      <c r="G300" s="19">
        <v>1972</v>
      </c>
      <c r="H300" s="19">
        <v>5</v>
      </c>
      <c r="I300" s="19">
        <v>5</v>
      </c>
      <c r="J300" s="23">
        <v>5177.3</v>
      </c>
      <c r="K300" s="23">
        <v>4648.1000000000004</v>
      </c>
      <c r="L300" s="43">
        <v>3957.5</v>
      </c>
      <c r="M300" s="19">
        <v>162</v>
      </c>
      <c r="N300" s="19" t="s">
        <v>365</v>
      </c>
      <c r="O300" s="19" t="s">
        <v>366</v>
      </c>
      <c r="P300" s="19"/>
      <c r="Q300" s="28"/>
      <c r="R300" s="37"/>
      <c r="S300" s="28"/>
      <c r="T300" s="28"/>
      <c r="U300" s="28"/>
      <c r="V300" s="28"/>
      <c r="W300" s="28"/>
      <c r="X300" s="28"/>
      <c r="Y300" s="28"/>
      <c r="Z300" s="99">
        <v>3650877.41</v>
      </c>
      <c r="AA300" s="99">
        <v>15149490.16</v>
      </c>
      <c r="AB300" s="99">
        <v>5425923.4199999999</v>
      </c>
      <c r="AC300" s="28">
        <v>635639.35</v>
      </c>
      <c r="AD300" s="99">
        <f>SUM(Q300:AC300)</f>
        <v>24861930.340000004</v>
      </c>
      <c r="AE300" s="28"/>
      <c r="AF300" s="28"/>
      <c r="AG300" s="28">
        <f>SUM(Q300:AC300)</f>
        <v>24861930.340000004</v>
      </c>
      <c r="AH300" s="37"/>
      <c r="AI300" s="19">
        <v>2020</v>
      </c>
      <c r="AJ300" s="19">
        <v>2022</v>
      </c>
    </row>
    <row r="301" spans="1:37" s="124" customFormat="1" ht="15" hidden="1" customHeight="1" x14ac:dyDescent="0.45">
      <c r="A301" s="140"/>
      <c r="B301" s="141"/>
      <c r="C301" s="143"/>
      <c r="D301" s="141"/>
      <c r="E301" s="141"/>
      <c r="F301" s="141"/>
      <c r="G301" s="141"/>
      <c r="H301" s="141"/>
      <c r="I301" s="141"/>
      <c r="J301" s="149"/>
      <c r="K301" s="149"/>
      <c r="L301" s="191"/>
      <c r="M301" s="141"/>
      <c r="N301" s="141"/>
      <c r="O301" s="141"/>
      <c r="P301" s="141"/>
      <c r="Q301" s="155"/>
      <c r="R301" s="156"/>
      <c r="S301" s="155"/>
      <c r="T301" s="155"/>
      <c r="U301" s="155"/>
      <c r="V301" s="155"/>
      <c r="W301" s="155"/>
      <c r="X301" s="155"/>
      <c r="Y301" s="155"/>
      <c r="Z301" s="155">
        <v>3604274.0913550002</v>
      </c>
      <c r="AA301" s="155">
        <v>14956107.471795</v>
      </c>
      <c r="AB301" s="155">
        <v>5356661.7093150001</v>
      </c>
      <c r="AC301" s="155">
        <v>635639.35</v>
      </c>
      <c r="AD301" s="155">
        <v>24552682.622465</v>
      </c>
      <c r="AE301" s="155"/>
      <c r="AF301" s="155"/>
      <c r="AG301" s="155">
        <v>24552682.622465</v>
      </c>
      <c r="AH301" s="156"/>
      <c r="AI301" s="141"/>
      <c r="AJ301" s="141"/>
    </row>
    <row r="302" spans="1:37" ht="88.5" hidden="1" customHeight="1" x14ac:dyDescent="0.45">
      <c r="A302" s="163">
        <v>1</v>
      </c>
      <c r="B302" s="19">
        <v>269</v>
      </c>
      <c r="C302" s="138" t="s">
        <v>479</v>
      </c>
      <c r="D302" s="19" t="s">
        <v>362</v>
      </c>
      <c r="E302" s="19" t="s">
        <v>369</v>
      </c>
      <c r="F302" s="19" t="s">
        <v>480</v>
      </c>
      <c r="G302" s="19">
        <v>1971</v>
      </c>
      <c r="H302" s="19">
        <v>5</v>
      </c>
      <c r="I302" s="19">
        <v>7</v>
      </c>
      <c r="J302" s="23">
        <v>7077.4</v>
      </c>
      <c r="K302" s="23">
        <v>6324.3</v>
      </c>
      <c r="L302" s="43">
        <v>5514.6</v>
      </c>
      <c r="M302" s="19">
        <v>238</v>
      </c>
      <c r="N302" s="19" t="s">
        <v>365</v>
      </c>
      <c r="O302" s="19" t="s">
        <v>366</v>
      </c>
      <c r="P302" s="19"/>
      <c r="Q302" s="28"/>
      <c r="R302" s="37"/>
      <c r="S302" s="28"/>
      <c r="T302" s="28"/>
      <c r="U302" s="28"/>
      <c r="V302" s="28"/>
      <c r="W302" s="28"/>
      <c r="X302" s="28"/>
      <c r="Y302" s="28">
        <v>23037236.949999999</v>
      </c>
      <c r="Z302" s="99">
        <v>5003769.34</v>
      </c>
      <c r="AA302" s="99">
        <v>20763379.859999999</v>
      </c>
      <c r="AB302" s="99">
        <v>7436587.5</v>
      </c>
      <c r="AC302" s="28">
        <v>2062874.75</v>
      </c>
      <c r="AD302" s="99">
        <f>SUM(Q302:AC302)</f>
        <v>58303848.399999999</v>
      </c>
      <c r="AE302" s="28"/>
      <c r="AF302" s="28"/>
      <c r="AG302" s="28">
        <f>SUM(Y302+Z302+AA302+AB302+AC302)</f>
        <v>58303848.399999999</v>
      </c>
      <c r="AH302" s="37"/>
      <c r="AI302" s="19" t="s">
        <v>481</v>
      </c>
      <c r="AJ302" s="19" t="s">
        <v>482</v>
      </c>
    </row>
    <row r="303" spans="1:37" s="124" customFormat="1" ht="15" hidden="1" customHeight="1" x14ac:dyDescent="0.45">
      <c r="A303" s="140"/>
      <c r="B303" s="141"/>
      <c r="C303" s="143"/>
      <c r="D303" s="141"/>
      <c r="E303" s="141"/>
      <c r="F303" s="141"/>
      <c r="G303" s="141"/>
      <c r="H303" s="141"/>
      <c r="I303" s="141"/>
      <c r="J303" s="149"/>
      <c r="K303" s="149"/>
      <c r="L303" s="191"/>
      <c r="M303" s="141"/>
      <c r="N303" s="141"/>
      <c r="O303" s="141"/>
      <c r="P303" s="141"/>
      <c r="Q303" s="171"/>
      <c r="R303" s="162"/>
      <c r="S303" s="171"/>
      <c r="T303" s="171"/>
      <c r="U303" s="171"/>
      <c r="V303" s="171"/>
      <c r="W303" s="171"/>
      <c r="X303" s="171"/>
      <c r="Y303" s="171">
        <v>23037236.949999999</v>
      </c>
      <c r="Z303" s="171">
        <v>4904049.1030649999</v>
      </c>
      <c r="AA303" s="171">
        <v>20349585.956385002</v>
      </c>
      <c r="AB303" s="171">
        <v>7288383.5649450002</v>
      </c>
      <c r="AC303" s="171">
        <v>2062874.75</v>
      </c>
      <c r="AD303" s="171">
        <v>57642130.324395001</v>
      </c>
      <c r="AE303" s="171"/>
      <c r="AF303" s="171"/>
      <c r="AG303" s="171">
        <v>57642130.324395001</v>
      </c>
      <c r="AH303" s="162"/>
      <c r="AI303" s="141"/>
      <c r="AJ303" s="141"/>
    </row>
    <row r="304" spans="1:37" ht="73.5" hidden="1" customHeight="1" x14ac:dyDescent="0.45">
      <c r="A304" s="163">
        <v>1</v>
      </c>
      <c r="B304" s="19">
        <v>1</v>
      </c>
      <c r="C304" s="188" t="s">
        <v>483</v>
      </c>
      <c r="D304" s="19" t="s">
        <v>381</v>
      </c>
      <c r="E304" s="146" t="s">
        <v>382</v>
      </c>
      <c r="F304" s="19" t="s">
        <v>383</v>
      </c>
      <c r="G304" s="19"/>
      <c r="H304" s="19"/>
      <c r="I304" s="19"/>
      <c r="J304" s="23"/>
      <c r="K304" s="23"/>
      <c r="L304" s="43"/>
      <c r="M304" s="19"/>
      <c r="N304" s="19"/>
      <c r="O304" s="19"/>
      <c r="P304" s="19"/>
      <c r="Q304" s="28"/>
      <c r="R304" s="194">
        <v>2377151.2400000002</v>
      </c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197">
        <v>124000</v>
      </c>
      <c r="AD304" s="157">
        <f>R304+AC304</f>
        <v>2501151.2400000002</v>
      </c>
      <c r="AE304" s="157">
        <f>AD304</f>
        <v>2501151.2400000002</v>
      </c>
      <c r="AF304" s="157"/>
      <c r="AG304" s="157"/>
      <c r="AH304" s="159"/>
      <c r="AI304" s="19">
        <v>2022</v>
      </c>
      <c r="AJ304" s="19">
        <v>2022</v>
      </c>
      <c r="AK304" s="130" t="s">
        <v>387</v>
      </c>
    </row>
    <row r="305" spans="1:37" s="124" customFormat="1" ht="15" hidden="1" customHeight="1" x14ac:dyDescent="0.45">
      <c r="A305" s="140"/>
      <c r="B305" s="141"/>
      <c r="C305" s="143"/>
      <c r="D305" s="141"/>
      <c r="E305" s="141"/>
      <c r="F305" s="141"/>
      <c r="G305" s="141"/>
      <c r="H305" s="141"/>
      <c r="I305" s="141"/>
      <c r="J305" s="149"/>
      <c r="K305" s="149"/>
      <c r="L305" s="191"/>
      <c r="M305" s="141"/>
      <c r="N305" s="141"/>
      <c r="O305" s="141"/>
      <c r="P305" s="141"/>
      <c r="Q305" s="171"/>
      <c r="R305" s="162"/>
      <c r="S305" s="171"/>
      <c r="T305" s="171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1"/>
      <c r="AE305" s="171"/>
      <c r="AF305" s="171"/>
      <c r="AG305" s="171"/>
      <c r="AH305" s="162"/>
      <c r="AI305" s="141"/>
      <c r="AJ305" s="141"/>
    </row>
    <row r="306" spans="1:37" ht="84.9" hidden="1" customHeight="1" x14ac:dyDescent="0.45">
      <c r="A306" s="163">
        <v>1</v>
      </c>
      <c r="B306" s="19">
        <v>270</v>
      </c>
      <c r="C306" s="138" t="s">
        <v>484</v>
      </c>
      <c r="D306" s="19" t="s">
        <v>362</v>
      </c>
      <c r="E306" s="19" t="s">
        <v>369</v>
      </c>
      <c r="F306" s="19" t="s">
        <v>370</v>
      </c>
      <c r="G306" s="19">
        <v>1937</v>
      </c>
      <c r="H306" s="19">
        <v>3</v>
      </c>
      <c r="I306" s="19">
        <v>4</v>
      </c>
      <c r="J306" s="23" t="s">
        <v>485</v>
      </c>
      <c r="K306" s="23">
        <v>815.3</v>
      </c>
      <c r="L306" s="23" t="s">
        <v>364</v>
      </c>
      <c r="M306" s="19" t="s">
        <v>364</v>
      </c>
      <c r="N306" s="19" t="s">
        <v>371</v>
      </c>
      <c r="O306" s="19" t="s">
        <v>366</v>
      </c>
      <c r="P306" s="19"/>
      <c r="Q306" s="28"/>
      <c r="R306" s="37"/>
      <c r="S306" s="28"/>
      <c r="T306" s="28"/>
      <c r="U306" s="28"/>
      <c r="V306" s="28"/>
      <c r="W306" s="28"/>
      <c r="X306" s="28"/>
      <c r="Y306" s="99">
        <v>13641914.42</v>
      </c>
      <c r="Z306" s="28"/>
      <c r="AA306" s="28"/>
      <c r="AB306" s="28"/>
      <c r="AC306" s="28">
        <v>329793.06</v>
      </c>
      <c r="AD306" s="99">
        <f t="shared" ref="AD306:AD310" si="82">SUM(Q306:AC306)</f>
        <v>13971707.48</v>
      </c>
      <c r="AE306" s="28"/>
      <c r="AF306" s="28"/>
      <c r="AG306" s="28">
        <f t="shared" ref="AG306:AG310" si="83">SUM(Q306:AC306)</f>
        <v>13971707.48</v>
      </c>
      <c r="AH306" s="37"/>
      <c r="AI306" s="19">
        <v>2020</v>
      </c>
      <c r="AJ306" s="19">
        <v>2022</v>
      </c>
    </row>
    <row r="307" spans="1:37" s="124" customFormat="1" ht="15" hidden="1" customHeight="1" x14ac:dyDescent="0.45">
      <c r="A307" s="140"/>
      <c r="B307" s="141"/>
      <c r="C307" s="143"/>
      <c r="D307" s="141"/>
      <c r="E307" s="141"/>
      <c r="F307" s="141"/>
      <c r="G307" s="141"/>
      <c r="H307" s="141"/>
      <c r="I307" s="141"/>
      <c r="J307" s="149"/>
      <c r="K307" s="149"/>
      <c r="L307" s="149"/>
      <c r="M307" s="141"/>
      <c r="N307" s="141"/>
      <c r="O307" s="141"/>
      <c r="P307" s="141"/>
      <c r="Q307" s="155"/>
      <c r="R307" s="156"/>
      <c r="S307" s="155"/>
      <c r="T307" s="155"/>
      <c r="U307" s="155"/>
      <c r="V307" s="155"/>
      <c r="W307" s="155"/>
      <c r="X307" s="155"/>
      <c r="Y307" s="155">
        <v>4321979.7</v>
      </c>
      <c r="Z307" s="155"/>
      <c r="AA307" s="155"/>
      <c r="AB307" s="155"/>
      <c r="AC307" s="155">
        <v>329793.06</v>
      </c>
      <c r="AD307" s="155">
        <v>4651772.76</v>
      </c>
      <c r="AE307" s="155"/>
      <c r="AF307" s="155"/>
      <c r="AG307" s="155">
        <v>4651772.76</v>
      </c>
      <c r="AH307" s="156"/>
      <c r="AI307" s="141"/>
      <c r="AJ307" s="141"/>
    </row>
    <row r="308" spans="1:37" ht="84.9" hidden="1" customHeight="1" x14ac:dyDescent="0.45">
      <c r="A308" s="163">
        <v>1</v>
      </c>
      <c r="B308" s="19">
        <v>271</v>
      </c>
      <c r="C308" s="138" t="s">
        <v>486</v>
      </c>
      <c r="D308" s="19"/>
      <c r="E308" s="19" t="s">
        <v>445</v>
      </c>
      <c r="F308" s="19" t="s">
        <v>370</v>
      </c>
      <c r="G308" s="19">
        <v>1952</v>
      </c>
      <c r="H308" s="19">
        <v>2</v>
      </c>
      <c r="I308" s="19">
        <v>2</v>
      </c>
      <c r="J308" s="23">
        <v>924.8</v>
      </c>
      <c r="K308" s="23">
        <v>608.1</v>
      </c>
      <c r="L308" s="23" t="s">
        <v>364</v>
      </c>
      <c r="M308" s="19" t="s">
        <v>364</v>
      </c>
      <c r="N308" s="19" t="s">
        <v>371</v>
      </c>
      <c r="O308" s="19" t="s">
        <v>366</v>
      </c>
      <c r="P308" s="19"/>
      <c r="Q308" s="28"/>
      <c r="R308" s="37"/>
      <c r="S308" s="28"/>
      <c r="T308" s="28"/>
      <c r="U308" s="28"/>
      <c r="V308" s="28"/>
      <c r="W308" s="28"/>
      <c r="X308" s="28"/>
      <c r="Y308" s="28">
        <f>ROUND(8645.31*K308*1.015,2)</f>
        <v>5336071.21</v>
      </c>
      <c r="Z308" s="28"/>
      <c r="AA308" s="28"/>
      <c r="AB308" s="28"/>
      <c r="AC308" s="28">
        <v>74705</v>
      </c>
      <c r="AD308" s="28">
        <f t="shared" si="82"/>
        <v>5410776.21</v>
      </c>
      <c r="AE308" s="28"/>
      <c r="AF308" s="28"/>
      <c r="AG308" s="28">
        <f t="shared" si="83"/>
        <v>5410776.21</v>
      </c>
      <c r="AH308" s="37"/>
      <c r="AI308" s="19">
        <v>2020</v>
      </c>
      <c r="AJ308" s="19">
        <v>2022</v>
      </c>
    </row>
    <row r="309" spans="1:37" s="124" customFormat="1" ht="15" hidden="1" customHeight="1" x14ac:dyDescent="0.45">
      <c r="A309" s="140"/>
      <c r="B309" s="141"/>
      <c r="C309" s="143"/>
      <c r="D309" s="141"/>
      <c r="E309" s="141"/>
      <c r="F309" s="141"/>
      <c r="G309" s="141"/>
      <c r="H309" s="141"/>
      <c r="I309" s="141"/>
      <c r="J309" s="149"/>
      <c r="K309" s="149"/>
      <c r="L309" s="149"/>
      <c r="M309" s="141"/>
      <c r="N309" s="141"/>
      <c r="O309" s="141"/>
      <c r="P309" s="141"/>
      <c r="Q309" s="171"/>
      <c r="R309" s="162"/>
      <c r="S309" s="171"/>
      <c r="T309" s="171"/>
      <c r="U309" s="171"/>
      <c r="V309" s="171"/>
      <c r="W309" s="171"/>
      <c r="X309" s="171"/>
      <c r="Y309" s="171">
        <v>5336071.21</v>
      </c>
      <c r="Z309" s="171"/>
      <c r="AA309" s="171"/>
      <c r="AB309" s="171"/>
      <c r="AC309" s="171">
        <v>74705</v>
      </c>
      <c r="AD309" s="171">
        <v>5410776.21</v>
      </c>
      <c r="AE309" s="171"/>
      <c r="AF309" s="171"/>
      <c r="AG309" s="171">
        <v>5410776.21</v>
      </c>
      <c r="AH309" s="162"/>
      <c r="AI309" s="141"/>
      <c r="AJ309" s="141"/>
    </row>
    <row r="310" spans="1:37" ht="84.9" hidden="1" customHeight="1" x14ac:dyDescent="0.45">
      <c r="A310" s="163">
        <v>1</v>
      </c>
      <c r="B310" s="19">
        <v>272</v>
      </c>
      <c r="C310" s="138" t="s">
        <v>487</v>
      </c>
      <c r="D310" s="19" t="s">
        <v>362</v>
      </c>
      <c r="E310" s="19" t="s">
        <v>369</v>
      </c>
      <c r="F310" s="19" t="s">
        <v>370</v>
      </c>
      <c r="G310" s="19">
        <v>1960</v>
      </c>
      <c r="H310" s="19">
        <v>4</v>
      </c>
      <c r="I310" s="19">
        <v>2</v>
      </c>
      <c r="J310" s="23" t="s">
        <v>488</v>
      </c>
      <c r="K310" s="23">
        <v>1281.7</v>
      </c>
      <c r="L310" s="23" t="s">
        <v>364</v>
      </c>
      <c r="M310" s="19" t="s">
        <v>364</v>
      </c>
      <c r="N310" s="19" t="s">
        <v>371</v>
      </c>
      <c r="O310" s="19" t="s">
        <v>366</v>
      </c>
      <c r="P310" s="19"/>
      <c r="Q310" s="28"/>
      <c r="R310" s="37"/>
      <c r="S310" s="28"/>
      <c r="T310" s="28"/>
      <c r="U310" s="28"/>
      <c r="V310" s="28"/>
      <c r="W310" s="28"/>
      <c r="X310" s="28"/>
      <c r="Y310" s="99">
        <v>9846462.4800000004</v>
      </c>
      <c r="Z310" s="28"/>
      <c r="AA310" s="28"/>
      <c r="AB310" s="28"/>
      <c r="AC310" s="28">
        <v>321553.62</v>
      </c>
      <c r="AD310" s="99">
        <f t="shared" si="82"/>
        <v>10168016.1</v>
      </c>
      <c r="AE310" s="28"/>
      <c r="AF310" s="28"/>
      <c r="AG310" s="28">
        <f t="shared" si="83"/>
        <v>10168016.1</v>
      </c>
      <c r="AH310" s="37"/>
      <c r="AI310" s="19">
        <v>2020</v>
      </c>
      <c r="AJ310" s="19">
        <v>2022</v>
      </c>
    </row>
    <row r="311" spans="1:37" s="124" customFormat="1" ht="15" hidden="1" customHeight="1" x14ac:dyDescent="0.45">
      <c r="A311" s="140"/>
      <c r="B311" s="141"/>
      <c r="C311" s="143"/>
      <c r="D311" s="141"/>
      <c r="E311" s="141"/>
      <c r="F311" s="141"/>
      <c r="G311" s="141"/>
      <c r="H311" s="141"/>
      <c r="I311" s="141"/>
      <c r="J311" s="149"/>
      <c r="K311" s="149"/>
      <c r="L311" s="149"/>
      <c r="M311" s="141"/>
      <c r="N311" s="141"/>
      <c r="O311" s="141"/>
      <c r="P311" s="141"/>
      <c r="Q311" s="155"/>
      <c r="R311" s="156"/>
      <c r="S311" s="155"/>
      <c r="T311" s="155"/>
      <c r="U311" s="155"/>
      <c r="V311" s="155"/>
      <c r="W311" s="155"/>
      <c r="X311" s="155"/>
      <c r="Y311" s="155">
        <v>5301648.68</v>
      </c>
      <c r="Z311" s="155"/>
      <c r="AA311" s="155"/>
      <c r="AB311" s="155"/>
      <c r="AC311" s="155">
        <v>321553.62</v>
      </c>
      <c r="AD311" s="155">
        <v>5623202.2999999998</v>
      </c>
      <c r="AE311" s="155"/>
      <c r="AF311" s="155"/>
      <c r="AG311" s="155">
        <v>5623202.2999999998</v>
      </c>
      <c r="AH311" s="156"/>
      <c r="AI311" s="141"/>
      <c r="AJ311" s="141"/>
    </row>
    <row r="312" spans="1:37" ht="84.9" hidden="1" customHeight="1" x14ac:dyDescent="0.45">
      <c r="A312" s="163">
        <v>1</v>
      </c>
      <c r="B312" s="19">
        <v>273</v>
      </c>
      <c r="C312" s="138" t="s">
        <v>489</v>
      </c>
      <c r="D312" s="19"/>
      <c r="E312" s="19"/>
      <c r="F312" s="19" t="s">
        <v>376</v>
      </c>
      <c r="G312" s="19">
        <v>1963</v>
      </c>
      <c r="H312" s="19">
        <v>5</v>
      </c>
      <c r="I312" s="19">
        <v>2</v>
      </c>
      <c r="J312" s="23">
        <v>2774</v>
      </c>
      <c r="K312" s="23">
        <v>2741.6</v>
      </c>
      <c r="L312" s="23">
        <v>1703.7</v>
      </c>
      <c r="M312" s="19">
        <v>101</v>
      </c>
      <c r="N312" s="19" t="s">
        <v>365</v>
      </c>
      <c r="O312" s="19" t="s">
        <v>366</v>
      </c>
      <c r="P312" s="19"/>
      <c r="Q312" s="28"/>
      <c r="R312" s="37"/>
      <c r="S312" s="28"/>
      <c r="T312" s="28"/>
      <c r="U312" s="28"/>
      <c r="V312" s="28"/>
      <c r="W312" s="28"/>
      <c r="X312" s="28"/>
      <c r="Y312" s="28">
        <v>6857764.7199999997</v>
      </c>
      <c r="Z312" s="28"/>
      <c r="AA312" s="28"/>
      <c r="AB312" s="28"/>
      <c r="AC312" s="28">
        <v>405385.11</v>
      </c>
      <c r="AD312" s="28">
        <f>SUM(Q312:AC312)</f>
        <v>7263149.8300000001</v>
      </c>
      <c r="AE312" s="28"/>
      <c r="AF312" s="28"/>
      <c r="AG312" s="28">
        <f>SUM(Y312+AC312)</f>
        <v>7263149.8300000001</v>
      </c>
      <c r="AH312" s="37"/>
      <c r="AI312" s="19">
        <v>2022</v>
      </c>
      <c r="AJ312" s="19">
        <v>2022</v>
      </c>
    </row>
    <row r="313" spans="1:37" s="124" customFormat="1" ht="15" hidden="1" customHeight="1" x14ac:dyDescent="0.45">
      <c r="A313" s="140"/>
      <c r="B313" s="141"/>
      <c r="C313" s="143"/>
      <c r="D313" s="141"/>
      <c r="E313" s="141"/>
      <c r="F313" s="141"/>
      <c r="G313" s="141"/>
      <c r="H313" s="141"/>
      <c r="I313" s="141"/>
      <c r="J313" s="149"/>
      <c r="K313" s="149"/>
      <c r="L313" s="149"/>
      <c r="M313" s="141"/>
      <c r="N313" s="141"/>
      <c r="O313" s="141"/>
      <c r="P313" s="141"/>
      <c r="Q313" s="171"/>
      <c r="R313" s="162"/>
      <c r="S313" s="171"/>
      <c r="T313" s="171"/>
      <c r="U313" s="171"/>
      <c r="V313" s="171"/>
      <c r="W313" s="171"/>
      <c r="X313" s="171"/>
      <c r="Y313" s="171">
        <v>6857764.7199999997</v>
      </c>
      <c r="Z313" s="171"/>
      <c r="AA313" s="171"/>
      <c r="AB313" s="171"/>
      <c r="AC313" s="171">
        <v>405385.11</v>
      </c>
      <c r="AD313" s="171">
        <v>7263149.8300000001</v>
      </c>
      <c r="AE313" s="171"/>
      <c r="AF313" s="171"/>
      <c r="AG313" s="171">
        <v>7263149.8300000001</v>
      </c>
      <c r="AH313" s="162"/>
      <c r="AI313" s="141"/>
      <c r="AJ313" s="141"/>
    </row>
    <row r="314" spans="1:37" ht="58.5" hidden="1" customHeight="1" x14ac:dyDescent="0.45">
      <c r="A314" s="163">
        <v>1</v>
      </c>
      <c r="B314" s="19">
        <v>1</v>
      </c>
      <c r="C314" s="147" t="s">
        <v>288</v>
      </c>
      <c r="D314" s="19" t="s">
        <v>381</v>
      </c>
      <c r="E314" s="146" t="s">
        <v>382</v>
      </c>
      <c r="F314" s="19" t="s">
        <v>383</v>
      </c>
      <c r="G314" s="19">
        <v>1978</v>
      </c>
      <c r="H314" s="19">
        <v>9</v>
      </c>
      <c r="I314" s="19">
        <v>2</v>
      </c>
      <c r="J314" s="23">
        <v>4212</v>
      </c>
      <c r="K314" s="23">
        <v>4202.7</v>
      </c>
      <c r="L314" s="23">
        <v>4202.7</v>
      </c>
      <c r="M314" s="19">
        <v>180</v>
      </c>
      <c r="N314" s="19" t="s">
        <v>365</v>
      </c>
      <c r="O314" s="19" t="s">
        <v>366</v>
      </c>
      <c r="P314" s="19"/>
      <c r="Q314" s="28"/>
      <c r="R314" s="37"/>
      <c r="S314" s="28"/>
      <c r="T314" s="28"/>
      <c r="U314" s="28"/>
      <c r="V314" s="28"/>
      <c r="W314" s="28"/>
      <c r="X314" s="160">
        <v>3702831.57</v>
      </c>
      <c r="Y314" s="157"/>
      <c r="Z314" s="28"/>
      <c r="AA314" s="28"/>
      <c r="AB314" s="157"/>
      <c r="AC314" s="160">
        <v>151890.07999999999</v>
      </c>
      <c r="AD314" s="157">
        <f t="shared" ref="AD314:AD318" si="84">AC314+X314</f>
        <v>3854721.65</v>
      </c>
      <c r="AE314" s="157"/>
      <c r="AF314" s="157"/>
      <c r="AG314" s="157">
        <f t="shared" ref="AG314:AG318" si="85">AD314</f>
        <v>3854721.65</v>
      </c>
      <c r="AH314" s="159"/>
      <c r="AI314" s="19">
        <v>2022</v>
      </c>
      <c r="AJ314" s="19">
        <v>2022</v>
      </c>
      <c r="AK314" s="130" t="s">
        <v>393</v>
      </c>
    </row>
    <row r="315" spans="1:37" s="124" customFormat="1" ht="15" hidden="1" customHeight="1" x14ac:dyDescent="0.45">
      <c r="A315" s="140"/>
      <c r="B315" s="141"/>
      <c r="C315" s="143"/>
      <c r="D315" s="141"/>
      <c r="E315" s="141"/>
      <c r="F315" s="141"/>
      <c r="G315" s="141"/>
      <c r="H315" s="141"/>
      <c r="I315" s="141"/>
      <c r="J315" s="149"/>
      <c r="K315" s="149"/>
      <c r="L315" s="149"/>
      <c r="M315" s="141"/>
      <c r="N315" s="141"/>
      <c r="O315" s="141"/>
      <c r="P315" s="141"/>
      <c r="Q315" s="171"/>
      <c r="R315" s="162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62"/>
      <c r="AI315" s="141"/>
      <c r="AJ315" s="141"/>
    </row>
    <row r="316" spans="1:37" ht="58.5" hidden="1" customHeight="1" x14ac:dyDescent="0.45">
      <c r="A316" s="163">
        <v>1</v>
      </c>
      <c r="B316" s="19">
        <v>1</v>
      </c>
      <c r="C316" s="147" t="s">
        <v>289</v>
      </c>
      <c r="D316" s="19" t="s">
        <v>381</v>
      </c>
      <c r="E316" s="146" t="s">
        <v>382</v>
      </c>
      <c r="F316" s="19" t="s">
        <v>383</v>
      </c>
      <c r="G316" s="19">
        <v>1977</v>
      </c>
      <c r="H316" s="19">
        <v>9</v>
      </c>
      <c r="I316" s="19">
        <v>1</v>
      </c>
      <c r="J316" s="23">
        <v>6695.5</v>
      </c>
      <c r="K316" s="23">
        <v>6695.5</v>
      </c>
      <c r="L316" s="23">
        <v>6695.5</v>
      </c>
      <c r="M316" s="19">
        <v>200</v>
      </c>
      <c r="N316" s="19" t="s">
        <v>365</v>
      </c>
      <c r="O316" s="19" t="s">
        <v>366</v>
      </c>
      <c r="P316" s="19"/>
      <c r="Q316" s="28"/>
      <c r="R316" s="37"/>
      <c r="S316" s="28"/>
      <c r="T316" s="28"/>
      <c r="U316" s="28"/>
      <c r="V316" s="28"/>
      <c r="W316" s="28"/>
      <c r="X316" s="160">
        <v>1851415.78</v>
      </c>
      <c r="Y316" s="157"/>
      <c r="Z316" s="28"/>
      <c r="AA316" s="28"/>
      <c r="AB316" s="157"/>
      <c r="AC316" s="198">
        <v>75945.039999999994</v>
      </c>
      <c r="AD316" s="157">
        <f t="shared" si="84"/>
        <v>1927360.82</v>
      </c>
      <c r="AE316" s="157"/>
      <c r="AF316" s="157"/>
      <c r="AG316" s="157">
        <f t="shared" si="85"/>
        <v>1927360.82</v>
      </c>
      <c r="AH316" s="159"/>
      <c r="AI316" s="19">
        <v>2022</v>
      </c>
      <c r="AJ316" s="19">
        <v>2022</v>
      </c>
      <c r="AK316" s="130" t="s">
        <v>393</v>
      </c>
    </row>
    <row r="317" spans="1:37" s="124" customFormat="1" ht="15" hidden="1" customHeight="1" x14ac:dyDescent="0.45">
      <c r="A317" s="140"/>
      <c r="B317" s="141"/>
      <c r="C317" s="143"/>
      <c r="D317" s="141"/>
      <c r="E317" s="141"/>
      <c r="F317" s="141"/>
      <c r="G317" s="141"/>
      <c r="H317" s="141"/>
      <c r="I317" s="141"/>
      <c r="J317" s="149"/>
      <c r="K317" s="149"/>
      <c r="L317" s="149"/>
      <c r="M317" s="141"/>
      <c r="N317" s="141"/>
      <c r="O317" s="141"/>
      <c r="P317" s="141"/>
      <c r="Q317" s="171"/>
      <c r="R317" s="162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62"/>
      <c r="AI317" s="141"/>
      <c r="AJ317" s="141"/>
    </row>
    <row r="318" spans="1:37" ht="54.75" hidden="1" customHeight="1" x14ac:dyDescent="0.45">
      <c r="A318" s="163">
        <v>1</v>
      </c>
      <c r="B318" s="19">
        <v>1</v>
      </c>
      <c r="C318" s="147" t="s">
        <v>290</v>
      </c>
      <c r="D318" s="19" t="s">
        <v>381</v>
      </c>
      <c r="E318" s="146" t="s">
        <v>382</v>
      </c>
      <c r="F318" s="19" t="s">
        <v>383</v>
      </c>
      <c r="G318" s="19">
        <v>1977</v>
      </c>
      <c r="H318" s="19">
        <v>9</v>
      </c>
      <c r="I318" s="19">
        <v>2</v>
      </c>
      <c r="J318" s="23">
        <v>4117.3</v>
      </c>
      <c r="K318" s="23">
        <v>4117.3</v>
      </c>
      <c r="L318" s="23">
        <v>4117.3</v>
      </c>
      <c r="M318" s="19">
        <v>166</v>
      </c>
      <c r="N318" s="19" t="s">
        <v>365</v>
      </c>
      <c r="O318" s="19" t="s">
        <v>366</v>
      </c>
      <c r="P318" s="19"/>
      <c r="Q318" s="28"/>
      <c r="R318" s="37"/>
      <c r="S318" s="28"/>
      <c r="T318" s="28"/>
      <c r="U318" s="28"/>
      <c r="V318" s="28"/>
      <c r="W318" s="28"/>
      <c r="X318" s="160">
        <v>3702831.57</v>
      </c>
      <c r="Y318" s="157"/>
      <c r="Z318" s="28"/>
      <c r="AA318" s="28"/>
      <c r="AB318" s="157"/>
      <c r="AC318" s="160">
        <v>151890.07999999999</v>
      </c>
      <c r="AD318" s="157">
        <f t="shared" si="84"/>
        <v>3854721.65</v>
      </c>
      <c r="AE318" s="157"/>
      <c r="AF318" s="157"/>
      <c r="AG318" s="157">
        <f t="shared" si="85"/>
        <v>3854721.65</v>
      </c>
      <c r="AH318" s="159"/>
      <c r="AI318" s="19">
        <v>2022</v>
      </c>
      <c r="AJ318" s="19">
        <v>2022</v>
      </c>
      <c r="AK318" s="130" t="s">
        <v>393</v>
      </c>
    </row>
    <row r="319" spans="1:37" s="124" customFormat="1" ht="15" hidden="1" customHeight="1" x14ac:dyDescent="0.45">
      <c r="A319" s="140"/>
      <c r="B319" s="141"/>
      <c r="C319" s="143"/>
      <c r="D319" s="141"/>
      <c r="E319" s="141"/>
      <c r="F319" s="141"/>
      <c r="G319" s="141"/>
      <c r="H319" s="141"/>
      <c r="I319" s="141"/>
      <c r="J319" s="149"/>
      <c r="K319" s="149"/>
      <c r="L319" s="149"/>
      <c r="M319" s="141"/>
      <c r="N319" s="141"/>
      <c r="O319" s="141"/>
      <c r="P319" s="141"/>
      <c r="Q319" s="171"/>
      <c r="R319" s="162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162"/>
      <c r="AI319" s="141"/>
      <c r="AJ319" s="141"/>
    </row>
    <row r="320" spans="1:37" ht="58.8" hidden="1" customHeight="1" x14ac:dyDescent="0.45">
      <c r="A320" s="163">
        <v>1</v>
      </c>
      <c r="B320" s="189">
        <v>274</v>
      </c>
      <c r="C320" s="190" t="s">
        <v>490</v>
      </c>
      <c r="D320" s="189"/>
      <c r="E320" s="189" t="s">
        <v>491</v>
      </c>
      <c r="F320" s="189" t="s">
        <v>492</v>
      </c>
      <c r="G320" s="189">
        <v>1989</v>
      </c>
      <c r="H320" s="189">
        <v>10</v>
      </c>
      <c r="I320" s="189">
        <v>2</v>
      </c>
      <c r="J320" s="192">
        <v>5939.3</v>
      </c>
      <c r="K320" s="192">
        <v>5889.1</v>
      </c>
      <c r="L320" s="192" t="s">
        <v>364</v>
      </c>
      <c r="M320" s="189" t="s">
        <v>364</v>
      </c>
      <c r="N320" s="189" t="s">
        <v>493</v>
      </c>
      <c r="O320" s="193" t="s">
        <v>425</v>
      </c>
      <c r="P320" s="189"/>
      <c r="Q320" s="195"/>
      <c r="R320" s="196"/>
      <c r="S320" s="195"/>
      <c r="T320" s="195"/>
      <c r="U320" s="195"/>
      <c r="V320" s="195"/>
      <c r="W320" s="195"/>
      <c r="X320" s="195"/>
      <c r="Y320" s="195"/>
      <c r="Z320" s="195">
        <f>635.48*K320*1.015</f>
        <v>3798541.3470199998</v>
      </c>
      <c r="AA320" s="195"/>
      <c r="AB320" s="195"/>
      <c r="AC320" s="195">
        <v>411596.45</v>
      </c>
      <c r="AD320" s="195">
        <f>SUM(Q320:AC320)</f>
        <v>4210137.7970199995</v>
      </c>
      <c r="AE320" s="195"/>
      <c r="AF320" s="195"/>
      <c r="AG320" s="195">
        <f>SUM(Q320:AC320)</f>
        <v>4210137.7970199995</v>
      </c>
      <c r="AH320" s="196"/>
      <c r="AI320" s="189">
        <v>2020</v>
      </c>
      <c r="AJ320" s="189">
        <v>2022</v>
      </c>
    </row>
    <row r="321" spans="1:37" s="124" customFormat="1" ht="15" hidden="1" customHeight="1" x14ac:dyDescent="0.45">
      <c r="A321" s="140"/>
      <c r="B321" s="141"/>
      <c r="C321" s="143"/>
      <c r="D321" s="141"/>
      <c r="E321" s="141"/>
      <c r="F321" s="141"/>
      <c r="G321" s="141"/>
      <c r="H321" s="141"/>
      <c r="I321" s="141"/>
      <c r="J321" s="149"/>
      <c r="K321" s="149"/>
      <c r="L321" s="149"/>
      <c r="M321" s="141"/>
      <c r="N321" s="148"/>
      <c r="O321" s="204"/>
      <c r="P321" s="141"/>
      <c r="Q321" s="171"/>
      <c r="R321" s="162"/>
      <c r="S321" s="171"/>
      <c r="T321" s="171"/>
      <c r="U321" s="171"/>
      <c r="V321" s="171"/>
      <c r="W321" s="171"/>
      <c r="X321" s="171"/>
      <c r="Y321" s="171"/>
      <c r="Z321" s="171">
        <v>3798541.3470200002</v>
      </c>
      <c r="AA321" s="171"/>
      <c r="AB321" s="171"/>
      <c r="AC321" s="171">
        <v>411596.45</v>
      </c>
      <c r="AD321" s="171">
        <v>4210137.7970200004</v>
      </c>
      <c r="AE321" s="171"/>
      <c r="AF321" s="212"/>
      <c r="AG321" s="171">
        <v>4210137.7970200004</v>
      </c>
      <c r="AH321" s="162"/>
      <c r="AI321" s="141"/>
      <c r="AJ321" s="141"/>
    </row>
    <row r="322" spans="1:37" ht="121.8" hidden="1" customHeight="1" x14ac:dyDescent="0.45">
      <c r="A322" s="163">
        <v>1</v>
      </c>
      <c r="B322" s="19">
        <v>275</v>
      </c>
      <c r="C322" s="138" t="s">
        <v>494</v>
      </c>
      <c r="D322" s="19"/>
      <c r="E322" s="278" t="s">
        <v>860</v>
      </c>
      <c r="F322" s="19" t="s">
        <v>495</v>
      </c>
      <c r="G322" s="19">
        <v>1954</v>
      </c>
      <c r="H322" s="19">
        <v>6</v>
      </c>
      <c r="I322" s="19">
        <v>9</v>
      </c>
      <c r="J322" s="23">
        <v>4135.2</v>
      </c>
      <c r="K322" s="23">
        <v>3893.6</v>
      </c>
      <c r="L322" s="19">
        <v>2587.6</v>
      </c>
      <c r="M322" s="19">
        <v>85</v>
      </c>
      <c r="N322" s="15" t="s">
        <v>365</v>
      </c>
      <c r="O322" s="19" t="s">
        <v>366</v>
      </c>
      <c r="P322" s="19"/>
      <c r="Q322" s="28"/>
      <c r="R322" s="37"/>
      <c r="S322" s="28"/>
      <c r="T322" s="28"/>
      <c r="U322" s="28"/>
      <c r="V322" s="28"/>
      <c r="W322" s="28"/>
      <c r="X322" s="28"/>
      <c r="Y322" s="28">
        <v>41063600.619999997</v>
      </c>
      <c r="Z322" s="28"/>
      <c r="AA322" s="28"/>
      <c r="AB322" s="28"/>
      <c r="AC322" s="28">
        <v>2427404.96</v>
      </c>
      <c r="AD322" s="28">
        <f>SUM(Q322:AC322)</f>
        <v>43491005.579999998</v>
      </c>
      <c r="AE322" s="28"/>
      <c r="AG322" s="28">
        <f>AD322</f>
        <v>43491005.579999998</v>
      </c>
      <c r="AH322" s="37"/>
      <c r="AI322" s="19">
        <v>2022</v>
      </c>
      <c r="AJ322" s="19">
        <v>2023</v>
      </c>
    </row>
    <row r="323" spans="1:37" s="124" customFormat="1" ht="15" hidden="1" customHeight="1" x14ac:dyDescent="0.45">
      <c r="A323" s="140"/>
      <c r="B323" s="141"/>
      <c r="C323" s="143"/>
      <c r="D323" s="141"/>
      <c r="E323" s="141"/>
      <c r="F323" s="141"/>
      <c r="G323" s="141"/>
      <c r="H323" s="141"/>
      <c r="I323" s="141"/>
      <c r="J323" s="149"/>
      <c r="K323" s="149"/>
      <c r="L323" s="141"/>
      <c r="M323" s="141"/>
      <c r="N323" s="148"/>
      <c r="O323" s="141"/>
      <c r="P323" s="141"/>
      <c r="Q323" s="171"/>
      <c r="R323" s="162"/>
      <c r="S323" s="171"/>
      <c r="T323" s="171"/>
      <c r="U323" s="171"/>
      <c r="V323" s="171"/>
      <c r="W323" s="171"/>
      <c r="X323" s="171"/>
      <c r="Y323" s="171">
        <v>41063600.619999997</v>
      </c>
      <c r="Z323" s="171"/>
      <c r="AA323" s="171"/>
      <c r="AB323" s="171"/>
      <c r="AC323" s="171">
        <v>2427404.96</v>
      </c>
      <c r="AD323" s="171">
        <v>43491005.579999998</v>
      </c>
      <c r="AE323" s="171"/>
      <c r="AF323" s="213"/>
      <c r="AG323" s="171">
        <v>43491005.579999998</v>
      </c>
      <c r="AH323" s="162"/>
      <c r="AI323" s="141"/>
      <c r="AJ323" s="141"/>
    </row>
    <row r="324" spans="1:37" ht="62.25" hidden="1" customHeight="1" x14ac:dyDescent="0.45">
      <c r="A324" s="163">
        <v>1</v>
      </c>
      <c r="B324" s="19">
        <v>1</v>
      </c>
      <c r="C324" s="145" t="s">
        <v>291</v>
      </c>
      <c r="D324" s="19" t="s">
        <v>381</v>
      </c>
      <c r="E324" s="146" t="s">
        <v>382</v>
      </c>
      <c r="F324" s="19" t="s">
        <v>383</v>
      </c>
      <c r="G324" s="19">
        <v>1986</v>
      </c>
      <c r="H324" s="19">
        <v>10</v>
      </c>
      <c r="I324" s="19">
        <v>5</v>
      </c>
      <c r="J324" s="23">
        <v>12414</v>
      </c>
      <c r="K324" s="23"/>
      <c r="L324" s="23"/>
      <c r="M324" s="19">
        <v>505</v>
      </c>
      <c r="N324" s="15" t="s">
        <v>365</v>
      </c>
      <c r="O324" s="19" t="s">
        <v>366</v>
      </c>
      <c r="P324" s="19"/>
      <c r="Q324" s="28"/>
      <c r="R324" s="194">
        <v>9508604.9600000009</v>
      </c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197">
        <v>496000</v>
      </c>
      <c r="AD324" s="157">
        <f t="shared" ref="AD324:AD328" si="86">R324+AC324</f>
        <v>10004604.960000001</v>
      </c>
      <c r="AE324" s="157">
        <f t="shared" ref="AE324:AE328" si="87">AD324</f>
        <v>10004604.960000001</v>
      </c>
      <c r="AF324" s="157"/>
      <c r="AG324" s="157"/>
      <c r="AH324" s="159"/>
      <c r="AI324" s="19">
        <v>2022</v>
      </c>
      <c r="AJ324" s="19">
        <v>2022</v>
      </c>
      <c r="AK324" s="130" t="s">
        <v>387</v>
      </c>
    </row>
    <row r="325" spans="1:37" s="124" customFormat="1" ht="15" hidden="1" customHeight="1" x14ac:dyDescent="0.45">
      <c r="A325" s="140"/>
      <c r="B325" s="141"/>
      <c r="C325" s="143"/>
      <c r="D325" s="141"/>
      <c r="E325" s="141"/>
      <c r="F325" s="141"/>
      <c r="G325" s="141"/>
      <c r="H325" s="141"/>
      <c r="I325" s="141"/>
      <c r="J325" s="149"/>
      <c r="K325" s="149"/>
      <c r="L325" s="141"/>
      <c r="M325" s="141"/>
      <c r="N325" s="148"/>
      <c r="O325" s="141"/>
      <c r="P325" s="141"/>
      <c r="Q325" s="171"/>
      <c r="R325" s="162"/>
      <c r="S325" s="171"/>
      <c r="T325" s="171"/>
      <c r="U325" s="171"/>
      <c r="V325" s="171"/>
      <c r="W325" s="171"/>
      <c r="X325" s="171"/>
      <c r="Y325" s="171"/>
      <c r="Z325" s="171"/>
      <c r="AA325" s="171"/>
      <c r="AB325" s="171"/>
      <c r="AC325" s="171"/>
      <c r="AD325" s="171"/>
      <c r="AE325" s="171"/>
      <c r="AF325" s="213"/>
      <c r="AG325" s="171"/>
      <c r="AH325" s="162"/>
      <c r="AI325" s="141"/>
      <c r="AJ325" s="141"/>
    </row>
    <row r="326" spans="1:37" ht="62.25" hidden="1" customHeight="1" x14ac:dyDescent="0.45">
      <c r="A326" s="163">
        <v>1</v>
      </c>
      <c r="B326" s="19">
        <v>1</v>
      </c>
      <c r="C326" s="145" t="s">
        <v>292</v>
      </c>
      <c r="D326" s="19" t="s">
        <v>381</v>
      </c>
      <c r="E326" s="146" t="s">
        <v>382</v>
      </c>
      <c r="F326" s="19" t="s">
        <v>383</v>
      </c>
      <c r="G326" s="19">
        <v>1993</v>
      </c>
      <c r="H326" s="19">
        <v>10</v>
      </c>
      <c r="I326" s="19">
        <v>4</v>
      </c>
      <c r="J326" s="23">
        <v>10449.1</v>
      </c>
      <c r="K326" s="23"/>
      <c r="L326" s="23"/>
      <c r="M326" s="19">
        <v>406</v>
      </c>
      <c r="N326" s="15" t="s">
        <v>365</v>
      </c>
      <c r="O326" s="19" t="s">
        <v>425</v>
      </c>
      <c r="P326" s="19"/>
      <c r="Q326" s="28"/>
      <c r="R326" s="194">
        <v>7131453.7199999997</v>
      </c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197">
        <v>372000</v>
      </c>
      <c r="AD326" s="157">
        <f t="shared" si="86"/>
        <v>7503453.7199999997</v>
      </c>
      <c r="AE326" s="157">
        <f t="shared" si="87"/>
        <v>7503453.7199999997</v>
      </c>
      <c r="AF326" s="157"/>
      <c r="AG326" s="157"/>
      <c r="AH326" s="159"/>
      <c r="AI326" s="19">
        <v>2022</v>
      </c>
      <c r="AJ326" s="19">
        <v>2022</v>
      </c>
      <c r="AK326" s="130" t="s">
        <v>387</v>
      </c>
    </row>
    <row r="327" spans="1:37" s="124" customFormat="1" ht="15" hidden="1" customHeight="1" x14ac:dyDescent="0.45">
      <c r="A327" s="140"/>
      <c r="B327" s="141"/>
      <c r="C327" s="143"/>
      <c r="D327" s="141"/>
      <c r="E327" s="141"/>
      <c r="F327" s="141"/>
      <c r="G327" s="141"/>
      <c r="H327" s="141"/>
      <c r="I327" s="141"/>
      <c r="J327" s="149"/>
      <c r="K327" s="149"/>
      <c r="L327" s="141"/>
      <c r="M327" s="141"/>
      <c r="N327" s="148"/>
      <c r="O327" s="141"/>
      <c r="P327" s="141"/>
      <c r="Q327" s="171"/>
      <c r="R327" s="162"/>
      <c r="S327" s="171"/>
      <c r="T327" s="171"/>
      <c r="U327" s="171"/>
      <c r="V327" s="171"/>
      <c r="W327" s="171"/>
      <c r="X327" s="171"/>
      <c r="Y327" s="171"/>
      <c r="Z327" s="171"/>
      <c r="AA327" s="171"/>
      <c r="AB327" s="171"/>
      <c r="AC327" s="171"/>
      <c r="AD327" s="171"/>
      <c r="AE327" s="171"/>
      <c r="AF327" s="213"/>
      <c r="AG327" s="171"/>
      <c r="AH327" s="162"/>
      <c r="AI327" s="141"/>
      <c r="AJ327" s="141"/>
    </row>
    <row r="328" spans="1:37" ht="62.25" hidden="1" customHeight="1" x14ac:dyDescent="0.45">
      <c r="A328" s="163">
        <v>1</v>
      </c>
      <c r="B328" s="19">
        <v>1</v>
      </c>
      <c r="C328" s="145" t="s">
        <v>293</v>
      </c>
      <c r="D328" s="19" t="s">
        <v>381</v>
      </c>
      <c r="E328" s="146" t="s">
        <v>382</v>
      </c>
      <c r="F328" s="19" t="s">
        <v>383</v>
      </c>
      <c r="G328" s="19">
        <v>1993</v>
      </c>
      <c r="H328" s="19">
        <v>10</v>
      </c>
      <c r="I328" s="19">
        <v>4</v>
      </c>
      <c r="J328" s="23">
        <v>10722.8</v>
      </c>
      <c r="K328" s="23"/>
      <c r="L328" s="23"/>
      <c r="M328" s="19">
        <v>440</v>
      </c>
      <c r="N328" s="15" t="s">
        <v>365</v>
      </c>
      <c r="O328" s="19" t="s">
        <v>366</v>
      </c>
      <c r="P328" s="19"/>
      <c r="Q328" s="28"/>
      <c r="R328" s="194">
        <v>7131453.7199999997</v>
      </c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197">
        <v>372000</v>
      </c>
      <c r="AD328" s="157">
        <f t="shared" si="86"/>
        <v>7503453.7199999997</v>
      </c>
      <c r="AE328" s="157">
        <f t="shared" si="87"/>
        <v>7503453.7199999997</v>
      </c>
      <c r="AF328" s="157"/>
      <c r="AG328" s="157"/>
      <c r="AH328" s="159"/>
      <c r="AI328" s="19">
        <v>2022</v>
      </c>
      <c r="AJ328" s="19">
        <v>2022</v>
      </c>
      <c r="AK328" s="130" t="s">
        <v>387</v>
      </c>
    </row>
    <row r="329" spans="1:37" s="124" customFormat="1" ht="15" hidden="1" customHeight="1" x14ac:dyDescent="0.45">
      <c r="A329" s="140"/>
      <c r="B329" s="141"/>
      <c r="C329" s="143"/>
      <c r="D329" s="141"/>
      <c r="E329" s="141"/>
      <c r="F329" s="141"/>
      <c r="G329" s="141"/>
      <c r="H329" s="141"/>
      <c r="I329" s="141"/>
      <c r="J329" s="149"/>
      <c r="K329" s="149"/>
      <c r="L329" s="141"/>
      <c r="M329" s="141"/>
      <c r="N329" s="148"/>
      <c r="O329" s="141"/>
      <c r="P329" s="141"/>
      <c r="Q329" s="171"/>
      <c r="R329" s="162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208"/>
      <c r="AD329" s="208"/>
      <c r="AE329" s="208"/>
      <c r="AF329" s="213"/>
      <c r="AG329" s="208"/>
      <c r="AH329" s="209"/>
      <c r="AI329" s="200"/>
      <c r="AJ329" s="200"/>
    </row>
    <row r="330" spans="1:37" ht="87.6" hidden="1" customHeight="1" x14ac:dyDescent="0.45">
      <c r="A330" s="163"/>
      <c r="B330" s="19"/>
      <c r="C330" s="138" t="s">
        <v>496</v>
      </c>
      <c r="D330" s="19" t="s">
        <v>497</v>
      </c>
      <c r="E330" s="199" t="s">
        <v>498</v>
      </c>
      <c r="F330" s="19"/>
      <c r="G330" s="19">
        <v>1941</v>
      </c>
      <c r="H330" s="19">
        <v>9</v>
      </c>
      <c r="I330" s="19">
        <v>2</v>
      </c>
      <c r="J330" s="23">
        <v>3088.7</v>
      </c>
      <c r="K330" s="23">
        <v>3088.7</v>
      </c>
      <c r="L330" s="19">
        <v>1881.7</v>
      </c>
      <c r="M330" s="19" t="s">
        <v>364</v>
      </c>
      <c r="N330" s="19" t="s">
        <v>365</v>
      </c>
      <c r="O330" s="19" t="s">
        <v>366</v>
      </c>
      <c r="P330" s="19"/>
      <c r="Q330" s="28"/>
      <c r="R330" s="37"/>
      <c r="S330" s="28"/>
      <c r="T330" s="28"/>
      <c r="U330" s="28"/>
      <c r="V330" s="28"/>
      <c r="W330" s="28"/>
      <c r="X330" s="28"/>
      <c r="Y330" s="279" t="s">
        <v>499</v>
      </c>
      <c r="Z330" s="28"/>
      <c r="AA330" s="28">
        <v>8301153.21</v>
      </c>
      <c r="AB330" s="28"/>
      <c r="AC330" s="28">
        <v>1598068.67</v>
      </c>
      <c r="AD330" s="28">
        <f>27033995.01+AC330</f>
        <v>28632063.68</v>
      </c>
      <c r="AE330" s="28"/>
      <c r="AF330" s="150"/>
      <c r="AG330" s="28">
        <v>28632063.68</v>
      </c>
      <c r="AH330" s="37"/>
      <c r="AI330" s="19">
        <v>2022</v>
      </c>
      <c r="AJ330" s="19">
        <v>2022</v>
      </c>
      <c r="AK330" s="216" t="s">
        <v>500</v>
      </c>
    </row>
    <row r="331" spans="1:37" s="124" customFormat="1" ht="15" hidden="1" customHeight="1" x14ac:dyDescent="0.45">
      <c r="A331" s="140"/>
      <c r="B331" s="141"/>
      <c r="C331" s="143"/>
      <c r="D331" s="141"/>
      <c r="E331" s="141"/>
      <c r="F331" s="141"/>
      <c r="G331" s="141"/>
      <c r="H331" s="141"/>
      <c r="I331" s="141"/>
      <c r="J331" s="149"/>
      <c r="K331" s="149"/>
      <c r="L331" s="141"/>
      <c r="M331" s="141"/>
      <c r="N331" s="148"/>
      <c r="O331" s="141"/>
      <c r="P331" s="141"/>
      <c r="Q331" s="171"/>
      <c r="R331" s="162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214"/>
      <c r="AD331" s="214"/>
      <c r="AE331" s="214"/>
      <c r="AF331" s="213"/>
      <c r="AG331" s="214"/>
      <c r="AH331" s="217"/>
      <c r="AI331" s="218"/>
      <c r="AJ331" s="218"/>
    </row>
    <row r="332" spans="1:37" ht="107.4" hidden="1" customHeight="1" x14ac:dyDescent="0.45">
      <c r="A332" s="163">
        <v>1</v>
      </c>
      <c r="B332" s="19">
        <v>276</v>
      </c>
      <c r="C332" s="138" t="s">
        <v>501</v>
      </c>
      <c r="D332" s="19"/>
      <c r="E332" s="19" t="s">
        <v>369</v>
      </c>
      <c r="F332" s="19" t="s">
        <v>502</v>
      </c>
      <c r="G332" s="19">
        <v>1976</v>
      </c>
      <c r="H332" s="19">
        <v>5</v>
      </c>
      <c r="I332" s="19">
        <v>2</v>
      </c>
      <c r="J332" s="23">
        <v>3867.2</v>
      </c>
      <c r="K332" s="23">
        <v>3212.4</v>
      </c>
      <c r="L332" s="23" t="s">
        <v>364</v>
      </c>
      <c r="M332" s="19" t="s">
        <v>364</v>
      </c>
      <c r="N332" s="15" t="s">
        <v>365</v>
      </c>
      <c r="O332" s="19" t="s">
        <v>366</v>
      </c>
      <c r="P332" s="19"/>
      <c r="Q332" s="28"/>
      <c r="R332" s="37"/>
      <c r="S332" s="28"/>
      <c r="T332" s="28"/>
      <c r="U332" s="207">
        <v>1215410.51</v>
      </c>
      <c r="V332" s="28"/>
      <c r="W332" s="28"/>
      <c r="X332" s="28"/>
      <c r="Y332" s="28">
        <f>ROUND(3727.29*K332*1.015,2)</f>
        <v>12153149.59</v>
      </c>
      <c r="Z332" s="28"/>
      <c r="AA332" s="28"/>
      <c r="AB332" s="28"/>
      <c r="AC332" s="207">
        <v>531157.51</v>
      </c>
      <c r="AD332" s="28">
        <v>13899717.609999999</v>
      </c>
      <c r="AE332" s="28"/>
      <c r="AF332" s="28"/>
      <c r="AG332" s="28">
        <f>AD332</f>
        <v>13899717.609999999</v>
      </c>
      <c r="AH332" s="37"/>
      <c r="AI332" s="19" t="s">
        <v>503</v>
      </c>
      <c r="AJ332" s="19" t="s">
        <v>470</v>
      </c>
    </row>
    <row r="333" spans="1:37" s="124" customFormat="1" ht="15" hidden="1" customHeight="1" x14ac:dyDescent="0.45">
      <c r="A333" s="140"/>
      <c r="B333" s="141"/>
      <c r="C333" s="143"/>
      <c r="D333" s="141"/>
      <c r="E333" s="141"/>
      <c r="F333" s="141"/>
      <c r="G333" s="141"/>
      <c r="H333" s="141"/>
      <c r="I333" s="141"/>
      <c r="J333" s="149"/>
      <c r="K333" s="149"/>
      <c r="L333" s="149"/>
      <c r="M333" s="141"/>
      <c r="N333" s="148"/>
      <c r="O333" s="141"/>
      <c r="P333" s="141"/>
      <c r="Q333" s="171"/>
      <c r="R333" s="162"/>
      <c r="S333" s="171"/>
      <c r="T333" s="171"/>
      <c r="U333" s="172" t="s">
        <v>504</v>
      </c>
      <c r="V333" s="171"/>
      <c r="W333" s="171"/>
      <c r="X333" s="171"/>
      <c r="Y333" s="171">
        <v>12153149.59</v>
      </c>
      <c r="Z333" s="171"/>
      <c r="AA333" s="171"/>
      <c r="AB333" s="171"/>
      <c r="AC333" s="171">
        <v>531157.51</v>
      </c>
      <c r="AD333" s="171">
        <v>13899717.609999999</v>
      </c>
      <c r="AE333" s="171"/>
      <c r="AF333" s="171"/>
      <c r="AG333" s="171">
        <v>13899717.609999999</v>
      </c>
      <c r="AH333" s="162"/>
      <c r="AI333" s="141"/>
      <c r="AJ333" s="141"/>
    </row>
    <row r="334" spans="1:37" ht="102" hidden="1" customHeight="1" x14ac:dyDescent="0.45">
      <c r="A334" s="163">
        <v>1</v>
      </c>
      <c r="B334" s="19">
        <v>277</v>
      </c>
      <c r="C334" s="138" t="s">
        <v>505</v>
      </c>
      <c r="D334" s="178" t="s">
        <v>378</v>
      </c>
      <c r="E334" s="19" t="s">
        <v>491</v>
      </c>
      <c r="F334" s="19" t="s">
        <v>442</v>
      </c>
      <c r="G334" s="19">
        <v>1970</v>
      </c>
      <c r="H334" s="19">
        <v>5</v>
      </c>
      <c r="I334" s="19">
        <v>8</v>
      </c>
      <c r="J334" s="23">
        <v>6607.5</v>
      </c>
      <c r="K334" s="23">
        <v>6019.7</v>
      </c>
      <c r="L334" s="23" t="s">
        <v>364</v>
      </c>
      <c r="M334" s="19" t="s">
        <v>364</v>
      </c>
      <c r="N334" s="15" t="s">
        <v>365</v>
      </c>
      <c r="O334" s="19" t="s">
        <v>366</v>
      </c>
      <c r="P334" s="19"/>
      <c r="Q334" s="28"/>
      <c r="R334" s="37"/>
      <c r="S334" s="28"/>
      <c r="T334" s="28"/>
      <c r="U334" s="28"/>
      <c r="V334" s="28"/>
      <c r="W334" s="28"/>
      <c r="X334" s="28"/>
      <c r="Y334" s="28">
        <v>15914460.880000001</v>
      </c>
      <c r="Z334" s="28"/>
      <c r="AA334" s="28">
        <v>6730160.04</v>
      </c>
      <c r="AB334" s="28"/>
      <c r="AC334" s="28">
        <v>318289.21999999997</v>
      </c>
      <c r="AD334" s="28">
        <f t="shared" ref="AD334:AD336" si="88">SUM(Q334:AC334)</f>
        <v>22962910.140000001</v>
      </c>
      <c r="AE334" s="28"/>
      <c r="AF334" s="28"/>
      <c r="AG334" s="28">
        <v>22962910.140000001</v>
      </c>
      <c r="AH334" s="37"/>
      <c r="AI334" s="19">
        <v>2020</v>
      </c>
      <c r="AJ334" s="19">
        <v>2022</v>
      </c>
    </row>
    <row r="335" spans="1:37" s="124" customFormat="1" ht="15" hidden="1" customHeight="1" x14ac:dyDescent="0.45">
      <c r="A335" s="140"/>
      <c r="B335" s="141"/>
      <c r="C335" s="143"/>
      <c r="D335" s="141"/>
      <c r="E335" s="141"/>
      <c r="F335" s="141"/>
      <c r="G335" s="141"/>
      <c r="H335" s="141"/>
      <c r="I335" s="141"/>
      <c r="J335" s="149"/>
      <c r="K335" s="149"/>
      <c r="L335" s="149"/>
      <c r="M335" s="141"/>
      <c r="N335" s="148"/>
      <c r="O335" s="141"/>
      <c r="P335" s="141"/>
      <c r="Q335" s="155"/>
      <c r="R335" s="156"/>
      <c r="S335" s="155"/>
      <c r="T335" s="155"/>
      <c r="U335" s="155"/>
      <c r="V335" s="155"/>
      <c r="W335" s="155"/>
      <c r="X335" s="155"/>
      <c r="Y335" s="155">
        <v>15914460.880000001</v>
      </c>
      <c r="Z335" s="155"/>
      <c r="AA335" s="155">
        <v>6730160.04</v>
      </c>
      <c r="AB335" s="155"/>
      <c r="AC335" s="155">
        <v>318289.21999999997</v>
      </c>
      <c r="AD335" s="155">
        <f t="shared" si="88"/>
        <v>22962910.140000001</v>
      </c>
      <c r="AE335" s="155"/>
      <c r="AF335" s="155"/>
      <c r="AG335" s="155">
        <v>22962910.140000001</v>
      </c>
      <c r="AH335" s="156"/>
      <c r="AI335" s="141"/>
      <c r="AJ335" s="141"/>
    </row>
    <row r="336" spans="1:37" ht="84.9" hidden="1" customHeight="1" x14ac:dyDescent="0.45">
      <c r="A336" s="163">
        <v>1</v>
      </c>
      <c r="B336" s="19">
        <v>278</v>
      </c>
      <c r="C336" s="138" t="s">
        <v>506</v>
      </c>
      <c r="D336" s="19" t="s">
        <v>362</v>
      </c>
      <c r="E336" s="19"/>
      <c r="F336" s="19" t="s">
        <v>376</v>
      </c>
      <c r="G336" s="19">
        <v>1963</v>
      </c>
      <c r="H336" s="19">
        <v>5</v>
      </c>
      <c r="I336" s="19">
        <v>3</v>
      </c>
      <c r="J336" s="23">
        <v>3566</v>
      </c>
      <c r="K336" s="23">
        <v>3535.9</v>
      </c>
      <c r="L336" s="23">
        <v>3535.9</v>
      </c>
      <c r="M336" s="19">
        <v>196</v>
      </c>
      <c r="N336" s="15" t="s">
        <v>365</v>
      </c>
      <c r="O336" s="19" t="s">
        <v>366</v>
      </c>
      <c r="P336" s="19"/>
      <c r="Q336" s="28">
        <v>2209994.52</v>
      </c>
      <c r="R336" s="37">
        <v>12012543.99</v>
      </c>
      <c r="S336" s="28">
        <v>2331745.94</v>
      </c>
      <c r="T336" s="28">
        <v>2306283.9300000002</v>
      </c>
      <c r="U336" s="28"/>
      <c r="V336" s="28">
        <v>2311483.92</v>
      </c>
      <c r="W336" s="28"/>
      <c r="X336" s="28"/>
      <c r="Y336" s="28">
        <v>12613734.23</v>
      </c>
      <c r="Z336" s="28"/>
      <c r="AA336" s="28"/>
      <c r="AB336" s="28"/>
      <c r="AC336" s="99">
        <v>1393012.7</v>
      </c>
      <c r="AD336" s="99">
        <f t="shared" si="88"/>
        <v>35178799.230000004</v>
      </c>
      <c r="AE336" s="28"/>
      <c r="AF336" s="28"/>
      <c r="AG336" s="28">
        <f>SUM(Q336+R336+S336+T336+V336+Y336+AC336)</f>
        <v>35178799.230000004</v>
      </c>
      <c r="AH336" s="37"/>
      <c r="AI336" s="19" t="s">
        <v>507</v>
      </c>
      <c r="AJ336" s="19" t="s">
        <v>471</v>
      </c>
    </row>
    <row r="337" spans="1:37" s="124" customFormat="1" ht="15" hidden="1" customHeight="1" x14ac:dyDescent="0.45">
      <c r="A337" s="140"/>
      <c r="B337" s="141"/>
      <c r="C337" s="143"/>
      <c r="D337" s="141"/>
      <c r="E337" s="141"/>
      <c r="F337" s="141"/>
      <c r="G337" s="141"/>
      <c r="H337" s="141"/>
      <c r="I337" s="141"/>
      <c r="J337" s="149"/>
      <c r="K337" s="149"/>
      <c r="L337" s="149"/>
      <c r="M337" s="141"/>
      <c r="N337" s="148"/>
      <c r="O337" s="141"/>
      <c r="P337" s="141"/>
      <c r="Q337" s="171">
        <v>2209994.52</v>
      </c>
      <c r="R337" s="162">
        <v>12012543.99</v>
      </c>
      <c r="S337" s="171">
        <v>2331745.94</v>
      </c>
      <c r="T337" s="171">
        <v>2306283.9300000002</v>
      </c>
      <c r="U337" s="171"/>
      <c r="V337" s="171">
        <v>2311483.92</v>
      </c>
      <c r="W337" s="171"/>
      <c r="X337" s="171"/>
      <c r="Y337" s="171">
        <v>12613734.23</v>
      </c>
      <c r="Z337" s="171"/>
      <c r="AA337" s="171"/>
      <c r="AB337" s="171"/>
      <c r="AC337" s="171">
        <v>1686988.3</v>
      </c>
      <c r="AD337" s="171">
        <v>35472774.829999998</v>
      </c>
      <c r="AE337" s="171"/>
      <c r="AF337" s="171"/>
      <c r="AG337" s="171">
        <v>35472774.829999998</v>
      </c>
      <c r="AH337" s="162"/>
      <c r="AI337" s="141"/>
      <c r="AJ337" s="141"/>
    </row>
    <row r="338" spans="1:37" ht="102" hidden="1" customHeight="1" x14ac:dyDescent="0.45">
      <c r="A338" s="163">
        <v>1</v>
      </c>
      <c r="B338" s="19">
        <v>279</v>
      </c>
      <c r="C338" s="138" t="s">
        <v>508</v>
      </c>
      <c r="D338" s="19"/>
      <c r="E338" s="19" t="s">
        <v>369</v>
      </c>
      <c r="F338" s="19" t="s">
        <v>509</v>
      </c>
      <c r="G338" s="19">
        <v>1962</v>
      </c>
      <c r="H338" s="19">
        <v>5</v>
      </c>
      <c r="I338" s="19">
        <v>3</v>
      </c>
      <c r="J338" s="23">
        <v>2565.1</v>
      </c>
      <c r="K338" s="23">
        <v>2532.8000000000002</v>
      </c>
      <c r="L338" s="23" t="s">
        <v>364</v>
      </c>
      <c r="M338" s="19" t="s">
        <v>364</v>
      </c>
      <c r="N338" s="15" t="s">
        <v>365</v>
      </c>
      <c r="O338" s="19" t="s">
        <v>366</v>
      </c>
      <c r="P338" s="19"/>
      <c r="Q338" s="28"/>
      <c r="R338" s="37"/>
      <c r="S338" s="28"/>
      <c r="T338" s="28"/>
      <c r="U338" s="28"/>
      <c r="V338" s="28"/>
      <c r="W338" s="28"/>
      <c r="X338" s="28"/>
      <c r="Y338" s="28">
        <f>ROUND(3727.29*K338*1.015,2)</f>
        <v>9582087.3100000005</v>
      </c>
      <c r="Z338" s="28"/>
      <c r="AA338" s="28"/>
      <c r="AB338" s="28"/>
      <c r="AC338" s="28">
        <v>315469.21000000002</v>
      </c>
      <c r="AD338" s="28">
        <f>SUM(Q338:AC338)</f>
        <v>9897556.5200000014</v>
      </c>
      <c r="AE338" s="28"/>
      <c r="AF338" s="28"/>
      <c r="AG338" s="28">
        <f>SUM(Q338:AC338)</f>
        <v>9897556.5200000014</v>
      </c>
      <c r="AH338" s="37"/>
      <c r="AI338" s="19">
        <v>2020</v>
      </c>
      <c r="AJ338" s="19">
        <v>2022</v>
      </c>
    </row>
    <row r="339" spans="1:37" s="124" customFormat="1" ht="15" hidden="1" customHeight="1" x14ac:dyDescent="0.45">
      <c r="A339" s="140"/>
      <c r="B339" s="141"/>
      <c r="C339" s="143"/>
      <c r="D339" s="141"/>
      <c r="E339" s="141"/>
      <c r="F339" s="141"/>
      <c r="G339" s="141"/>
      <c r="H339" s="141"/>
      <c r="I339" s="141"/>
      <c r="J339" s="149"/>
      <c r="K339" s="149"/>
      <c r="L339" s="149"/>
      <c r="M339" s="141"/>
      <c r="N339" s="148"/>
      <c r="O339" s="141"/>
      <c r="P339" s="141"/>
      <c r="Q339" s="171"/>
      <c r="R339" s="162"/>
      <c r="S339" s="171"/>
      <c r="T339" s="171"/>
      <c r="U339" s="171"/>
      <c r="V339" s="171"/>
      <c r="W339" s="171"/>
      <c r="X339" s="171"/>
      <c r="Y339" s="171">
        <v>9582087.3100000005</v>
      </c>
      <c r="Z339" s="171"/>
      <c r="AA339" s="171"/>
      <c r="AB339" s="171"/>
      <c r="AC339" s="171">
        <v>315469.21000000002</v>
      </c>
      <c r="AD339" s="171">
        <v>9897556.5199999996</v>
      </c>
      <c r="AE339" s="171"/>
      <c r="AF339" s="171"/>
      <c r="AG339" s="171">
        <v>9897556.5199999996</v>
      </c>
      <c r="AH339" s="162"/>
      <c r="AI339" s="141"/>
      <c r="AJ339" s="141"/>
    </row>
    <row r="340" spans="1:37" ht="45" hidden="1" customHeight="1" x14ac:dyDescent="0.45">
      <c r="A340" s="163">
        <v>1</v>
      </c>
      <c r="B340" s="19">
        <v>1</v>
      </c>
      <c r="C340" s="145" t="s">
        <v>294</v>
      </c>
      <c r="D340" s="19" t="s">
        <v>381</v>
      </c>
      <c r="E340" s="146" t="s">
        <v>382</v>
      </c>
      <c r="F340" s="19" t="s">
        <v>383</v>
      </c>
      <c r="G340" s="19">
        <v>1981</v>
      </c>
      <c r="H340" s="19">
        <v>9</v>
      </c>
      <c r="I340" s="19">
        <v>1</v>
      </c>
      <c r="J340" s="23">
        <v>2851.3</v>
      </c>
      <c r="K340" s="23"/>
      <c r="L340" s="23"/>
      <c r="M340" s="19">
        <v>104</v>
      </c>
      <c r="N340" s="15" t="s">
        <v>423</v>
      </c>
      <c r="O340" s="19" t="s">
        <v>366</v>
      </c>
      <c r="P340" s="19"/>
      <c r="Q340" s="28"/>
      <c r="R340" s="194">
        <v>2377151.2400000002</v>
      </c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197">
        <v>124000</v>
      </c>
      <c r="AD340" s="157">
        <f t="shared" ref="AD340:AD344" si="89">R340+AC340</f>
        <v>2501151.2400000002</v>
      </c>
      <c r="AE340" s="157">
        <f t="shared" ref="AE340:AE344" si="90">AD340</f>
        <v>2501151.2400000002</v>
      </c>
      <c r="AF340" s="157"/>
      <c r="AG340" s="157"/>
      <c r="AH340" s="159"/>
      <c r="AI340" s="19">
        <v>2022</v>
      </c>
      <c r="AJ340" s="19">
        <v>2022</v>
      </c>
      <c r="AK340" s="130" t="s">
        <v>387</v>
      </c>
    </row>
    <row r="341" spans="1:37" s="124" customFormat="1" ht="15" hidden="1" customHeight="1" x14ac:dyDescent="0.45">
      <c r="A341" s="140"/>
      <c r="B341" s="141"/>
      <c r="C341" s="143"/>
      <c r="D341" s="141"/>
      <c r="E341" s="141"/>
      <c r="F341" s="141"/>
      <c r="G341" s="141"/>
      <c r="H341" s="141"/>
      <c r="I341" s="141"/>
      <c r="J341" s="149"/>
      <c r="K341" s="149"/>
      <c r="L341" s="149"/>
      <c r="M341" s="141"/>
      <c r="N341" s="148"/>
      <c r="O341" s="141"/>
      <c r="P341" s="141"/>
      <c r="Q341" s="171"/>
      <c r="R341" s="162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162"/>
      <c r="AI341" s="141"/>
      <c r="AJ341" s="141"/>
    </row>
    <row r="342" spans="1:37" ht="45" hidden="1" customHeight="1" x14ac:dyDescent="0.45">
      <c r="A342" s="163">
        <v>1</v>
      </c>
      <c r="B342" s="19">
        <v>1</v>
      </c>
      <c r="C342" s="145" t="s">
        <v>295</v>
      </c>
      <c r="D342" s="19" t="s">
        <v>381</v>
      </c>
      <c r="E342" s="146" t="s">
        <v>382</v>
      </c>
      <c r="F342" s="19" t="s">
        <v>383</v>
      </c>
      <c r="G342" s="19">
        <v>1981</v>
      </c>
      <c r="H342" s="19">
        <v>9</v>
      </c>
      <c r="I342" s="19">
        <v>4</v>
      </c>
      <c r="J342" s="23">
        <v>11792.6</v>
      </c>
      <c r="K342" s="23"/>
      <c r="L342" s="23"/>
      <c r="M342" s="19">
        <v>512</v>
      </c>
      <c r="N342" s="15" t="s">
        <v>365</v>
      </c>
      <c r="O342" s="19" t="s">
        <v>366</v>
      </c>
      <c r="P342" s="19"/>
      <c r="Q342" s="28"/>
      <c r="R342" s="194">
        <v>4754302.4800000004</v>
      </c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197">
        <v>248000</v>
      </c>
      <c r="AD342" s="157">
        <f t="shared" si="89"/>
        <v>5002302.4800000004</v>
      </c>
      <c r="AE342" s="157">
        <f t="shared" si="90"/>
        <v>5002302.4800000004</v>
      </c>
      <c r="AF342" s="157"/>
      <c r="AG342" s="157"/>
      <c r="AH342" s="159"/>
      <c r="AI342" s="19">
        <v>2022</v>
      </c>
      <c r="AJ342" s="19">
        <v>2022</v>
      </c>
      <c r="AK342" s="130" t="s">
        <v>387</v>
      </c>
    </row>
    <row r="343" spans="1:37" s="124" customFormat="1" ht="15" hidden="1" customHeight="1" x14ac:dyDescent="0.45">
      <c r="A343" s="140"/>
      <c r="B343" s="141"/>
      <c r="C343" s="143"/>
      <c r="D343" s="141"/>
      <c r="E343" s="141"/>
      <c r="F343" s="141"/>
      <c r="G343" s="141"/>
      <c r="H343" s="141"/>
      <c r="I343" s="141"/>
      <c r="J343" s="149"/>
      <c r="K343" s="149"/>
      <c r="L343" s="149"/>
      <c r="M343" s="141"/>
      <c r="N343" s="148"/>
      <c r="O343" s="141"/>
      <c r="P343" s="141"/>
      <c r="Q343" s="171"/>
      <c r="R343" s="162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162"/>
      <c r="AI343" s="141"/>
      <c r="AJ343" s="141"/>
    </row>
    <row r="344" spans="1:37" ht="45" hidden="1" customHeight="1" x14ac:dyDescent="0.45">
      <c r="A344" s="163">
        <v>1</v>
      </c>
      <c r="B344" s="19">
        <v>1</v>
      </c>
      <c r="C344" s="145" t="s">
        <v>296</v>
      </c>
      <c r="D344" s="19" t="s">
        <v>381</v>
      </c>
      <c r="E344" s="146" t="s">
        <v>382</v>
      </c>
      <c r="F344" s="19" t="s">
        <v>383</v>
      </c>
      <c r="G344" s="19">
        <v>1982</v>
      </c>
      <c r="H344" s="19">
        <v>9</v>
      </c>
      <c r="I344" s="19">
        <v>1</v>
      </c>
      <c r="J344" s="23">
        <v>2856.9</v>
      </c>
      <c r="K344" s="23"/>
      <c r="L344" s="23"/>
      <c r="M344" s="19">
        <v>112</v>
      </c>
      <c r="N344" s="15" t="s">
        <v>365</v>
      </c>
      <c r="O344" s="19" t="s">
        <v>366</v>
      </c>
      <c r="P344" s="19"/>
      <c r="Q344" s="28"/>
      <c r="R344" s="194">
        <v>2377151.2400000002</v>
      </c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197">
        <v>124000</v>
      </c>
      <c r="AD344" s="157">
        <f t="shared" si="89"/>
        <v>2501151.2400000002</v>
      </c>
      <c r="AE344" s="157">
        <f t="shared" si="90"/>
        <v>2501151.2400000002</v>
      </c>
      <c r="AF344" s="157"/>
      <c r="AG344" s="157"/>
      <c r="AH344" s="159"/>
      <c r="AI344" s="19">
        <v>2022</v>
      </c>
      <c r="AJ344" s="19">
        <v>2022</v>
      </c>
      <c r="AK344" s="130" t="s">
        <v>387</v>
      </c>
    </row>
    <row r="345" spans="1:37" s="124" customFormat="1" ht="15" hidden="1" customHeight="1" x14ac:dyDescent="0.45">
      <c r="A345" s="140"/>
      <c r="B345" s="141"/>
      <c r="C345" s="143"/>
      <c r="D345" s="141"/>
      <c r="E345" s="141"/>
      <c r="F345" s="141"/>
      <c r="G345" s="141"/>
      <c r="H345" s="141"/>
      <c r="I345" s="141"/>
      <c r="J345" s="149"/>
      <c r="K345" s="149"/>
      <c r="L345" s="149"/>
      <c r="M345" s="141"/>
      <c r="N345" s="148"/>
      <c r="O345" s="141"/>
      <c r="P345" s="141"/>
      <c r="Q345" s="171"/>
      <c r="R345" s="162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162"/>
      <c r="AI345" s="141"/>
      <c r="AJ345" s="141"/>
    </row>
    <row r="346" spans="1:37" ht="45" hidden="1" customHeight="1" x14ac:dyDescent="0.45">
      <c r="A346" s="163">
        <v>1</v>
      </c>
      <c r="B346" s="19">
        <v>1</v>
      </c>
      <c r="C346" s="145" t="s">
        <v>297</v>
      </c>
      <c r="D346" s="19" t="s">
        <v>381</v>
      </c>
      <c r="E346" s="146" t="s">
        <v>382</v>
      </c>
      <c r="F346" s="19" t="s">
        <v>383</v>
      </c>
      <c r="G346" s="19">
        <v>1982</v>
      </c>
      <c r="H346" s="19">
        <v>9</v>
      </c>
      <c r="I346" s="19">
        <v>1</v>
      </c>
      <c r="J346" s="23">
        <v>1769.9</v>
      </c>
      <c r="K346" s="23"/>
      <c r="L346" s="23"/>
      <c r="M346" s="19">
        <v>57</v>
      </c>
      <c r="N346" s="15" t="s">
        <v>365</v>
      </c>
      <c r="O346" s="19" t="s">
        <v>366</v>
      </c>
      <c r="P346" s="19"/>
      <c r="Q346" s="28"/>
      <c r="R346" s="194">
        <v>2377151.2400000002</v>
      </c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197">
        <v>124000</v>
      </c>
      <c r="AD346" s="157">
        <f>R346+AC346</f>
        <v>2501151.2400000002</v>
      </c>
      <c r="AE346" s="157">
        <f>AD346</f>
        <v>2501151.2400000002</v>
      </c>
      <c r="AF346" s="157"/>
      <c r="AG346" s="157"/>
      <c r="AH346" s="159"/>
      <c r="AI346" s="19">
        <v>2022</v>
      </c>
      <c r="AJ346" s="19">
        <v>2022</v>
      </c>
      <c r="AK346" s="130" t="s">
        <v>387</v>
      </c>
    </row>
    <row r="347" spans="1:37" s="124" customFormat="1" ht="15" hidden="1" customHeight="1" x14ac:dyDescent="0.45">
      <c r="A347" s="140"/>
      <c r="B347" s="141"/>
      <c r="C347" s="143"/>
      <c r="D347" s="141"/>
      <c r="E347" s="141"/>
      <c r="F347" s="141"/>
      <c r="G347" s="141"/>
      <c r="H347" s="141"/>
      <c r="I347" s="141"/>
      <c r="J347" s="149"/>
      <c r="K347" s="149"/>
      <c r="L347" s="149"/>
      <c r="M347" s="141"/>
      <c r="N347" s="148"/>
      <c r="O347" s="141"/>
      <c r="P347" s="141"/>
      <c r="Q347" s="171"/>
      <c r="R347" s="162"/>
      <c r="S347" s="171"/>
      <c r="T347" s="171"/>
      <c r="U347" s="171"/>
      <c r="V347" s="171"/>
      <c r="W347" s="171"/>
      <c r="X347" s="171"/>
      <c r="Y347" s="171"/>
      <c r="Z347" s="171"/>
      <c r="AA347" s="171"/>
      <c r="AB347" s="171"/>
      <c r="AC347" s="171"/>
      <c r="AD347" s="171"/>
      <c r="AE347" s="171"/>
      <c r="AF347" s="171"/>
      <c r="AG347" s="171"/>
      <c r="AH347" s="162"/>
      <c r="AI347" s="141"/>
      <c r="AJ347" s="141"/>
    </row>
    <row r="348" spans="1:37" ht="45" hidden="1" customHeight="1" x14ac:dyDescent="0.45">
      <c r="A348" s="163">
        <v>1</v>
      </c>
      <c r="B348" s="19">
        <v>1</v>
      </c>
      <c r="C348" s="145" t="s">
        <v>298</v>
      </c>
      <c r="D348" s="19" t="s">
        <v>381</v>
      </c>
      <c r="E348" s="146" t="s">
        <v>382</v>
      </c>
      <c r="F348" s="19" t="s">
        <v>383</v>
      </c>
      <c r="G348" s="19">
        <v>1981</v>
      </c>
      <c r="H348" s="19">
        <v>9</v>
      </c>
      <c r="I348" s="19">
        <v>2</v>
      </c>
      <c r="J348" s="23">
        <v>3877.8</v>
      </c>
      <c r="K348" s="23"/>
      <c r="L348" s="23"/>
      <c r="M348" s="19">
        <v>192</v>
      </c>
      <c r="N348" s="15" t="s">
        <v>365</v>
      </c>
      <c r="O348" s="19" t="s">
        <v>366</v>
      </c>
      <c r="P348" s="19"/>
      <c r="Q348" s="28"/>
      <c r="R348" s="194">
        <v>2377151.2400000002</v>
      </c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197">
        <v>124000</v>
      </c>
      <c r="AD348" s="157">
        <f>R348+AC348</f>
        <v>2501151.2400000002</v>
      </c>
      <c r="AE348" s="157">
        <f>AD348</f>
        <v>2501151.2400000002</v>
      </c>
      <c r="AF348" s="157"/>
      <c r="AG348" s="157"/>
      <c r="AH348" s="159"/>
      <c r="AI348" s="19">
        <v>2022</v>
      </c>
      <c r="AJ348" s="19">
        <v>2022</v>
      </c>
      <c r="AK348" s="130" t="s">
        <v>387</v>
      </c>
    </row>
    <row r="349" spans="1:37" s="124" customFormat="1" ht="15" hidden="1" customHeight="1" x14ac:dyDescent="0.45">
      <c r="A349" s="140"/>
      <c r="B349" s="141"/>
      <c r="C349" s="143"/>
      <c r="D349" s="141"/>
      <c r="E349" s="141"/>
      <c r="F349" s="141"/>
      <c r="G349" s="141"/>
      <c r="H349" s="141"/>
      <c r="I349" s="141"/>
      <c r="J349" s="149"/>
      <c r="K349" s="149"/>
      <c r="L349" s="149"/>
      <c r="M349" s="141"/>
      <c r="N349" s="148"/>
      <c r="O349" s="141"/>
      <c r="P349" s="141"/>
      <c r="Q349" s="171"/>
      <c r="R349" s="162"/>
      <c r="S349" s="171"/>
      <c r="T349" s="171"/>
      <c r="U349" s="171"/>
      <c r="V349" s="171"/>
      <c r="W349" s="171"/>
      <c r="X349" s="171"/>
      <c r="Y349" s="171"/>
      <c r="Z349" s="171"/>
      <c r="AA349" s="171"/>
      <c r="AB349" s="171"/>
      <c r="AC349" s="171"/>
      <c r="AD349" s="171"/>
      <c r="AE349" s="171"/>
      <c r="AF349" s="171"/>
      <c r="AG349" s="171"/>
      <c r="AH349" s="162"/>
      <c r="AI349" s="141"/>
      <c r="AJ349" s="141"/>
    </row>
    <row r="350" spans="1:37" ht="84.9" hidden="1" customHeight="1" x14ac:dyDescent="0.45">
      <c r="A350" s="163">
        <v>1</v>
      </c>
      <c r="B350" s="19">
        <v>280</v>
      </c>
      <c r="C350" s="138" t="s">
        <v>510</v>
      </c>
      <c r="D350" s="19" t="s">
        <v>362</v>
      </c>
      <c r="E350" s="19"/>
      <c r="F350" s="19" t="s">
        <v>376</v>
      </c>
      <c r="G350" s="19">
        <v>1965</v>
      </c>
      <c r="H350" s="19">
        <v>5</v>
      </c>
      <c r="I350" s="19">
        <v>2</v>
      </c>
      <c r="J350" s="23">
        <v>1614.4</v>
      </c>
      <c r="K350" s="23">
        <v>1597.7</v>
      </c>
      <c r="L350" s="23">
        <v>1481.8</v>
      </c>
      <c r="M350" s="19">
        <v>71</v>
      </c>
      <c r="N350" s="15" t="s">
        <v>365</v>
      </c>
      <c r="O350" s="19" t="s">
        <v>366</v>
      </c>
      <c r="P350" s="19"/>
      <c r="Q350" s="28"/>
      <c r="R350" s="37"/>
      <c r="S350" s="28"/>
      <c r="T350" s="28"/>
      <c r="U350" s="28"/>
      <c r="V350" s="28"/>
      <c r="W350" s="28"/>
      <c r="X350" s="28"/>
      <c r="Y350" s="99">
        <v>5439511.8700000001</v>
      </c>
      <c r="Z350" s="28"/>
      <c r="AA350" s="28"/>
      <c r="AB350" s="28"/>
      <c r="AC350" s="28">
        <v>626259.69999999995</v>
      </c>
      <c r="AD350" s="99">
        <f>SUM(Q350:AC350)</f>
        <v>6065771.5700000003</v>
      </c>
      <c r="AE350" s="28"/>
      <c r="AF350" s="28"/>
      <c r="AG350" s="28">
        <f>SUM(Y350+AC350)</f>
        <v>6065771.5700000003</v>
      </c>
      <c r="AH350" s="37"/>
      <c r="AI350" s="19">
        <v>2022</v>
      </c>
      <c r="AJ350" s="19">
        <v>2022</v>
      </c>
    </row>
    <row r="351" spans="1:37" s="124" customFormat="1" ht="15" hidden="1" customHeight="1" x14ac:dyDescent="0.45">
      <c r="A351" s="140"/>
      <c r="B351" s="141"/>
      <c r="C351" s="143"/>
      <c r="D351" s="141"/>
      <c r="E351" s="141"/>
      <c r="F351" s="141"/>
      <c r="G351" s="141"/>
      <c r="H351" s="141"/>
      <c r="I351" s="141"/>
      <c r="J351" s="149"/>
      <c r="K351" s="149"/>
      <c r="L351" s="149"/>
      <c r="M351" s="141"/>
      <c r="N351" s="148"/>
      <c r="O351" s="141"/>
      <c r="P351" s="141"/>
      <c r="Q351" s="155"/>
      <c r="R351" s="156"/>
      <c r="S351" s="155"/>
      <c r="T351" s="155"/>
      <c r="U351" s="155"/>
      <c r="V351" s="155"/>
      <c r="W351" s="155"/>
      <c r="X351" s="155"/>
      <c r="Y351" s="155">
        <v>5439632.1699999999</v>
      </c>
      <c r="Z351" s="155"/>
      <c r="AA351" s="155"/>
      <c r="AB351" s="155"/>
      <c r="AC351" s="155">
        <v>626259.69999999995</v>
      </c>
      <c r="AD351" s="155">
        <f>SUM(Q351:AC351)</f>
        <v>6065891.8700000001</v>
      </c>
      <c r="AE351" s="155"/>
      <c r="AF351" s="155"/>
      <c r="AG351" s="155">
        <f>SUM(Y351+AC351)</f>
        <v>6065891.8700000001</v>
      </c>
      <c r="AH351" s="156"/>
      <c r="AI351" s="141"/>
      <c r="AJ351" s="141"/>
    </row>
    <row r="352" spans="1:37" ht="54.75" hidden="1" customHeight="1" x14ac:dyDescent="0.45">
      <c r="A352" s="163">
        <v>1</v>
      </c>
      <c r="B352" s="19">
        <v>1</v>
      </c>
      <c r="C352" s="147" t="s">
        <v>299</v>
      </c>
      <c r="D352" s="19" t="s">
        <v>381</v>
      </c>
      <c r="E352" s="146" t="s">
        <v>382</v>
      </c>
      <c r="F352" s="19" t="s">
        <v>383</v>
      </c>
      <c r="G352" s="19">
        <v>1977</v>
      </c>
      <c r="H352" s="19">
        <v>9</v>
      </c>
      <c r="I352" s="19">
        <v>2</v>
      </c>
      <c r="J352" s="23">
        <v>3501</v>
      </c>
      <c r="K352" s="23">
        <v>3500.7</v>
      </c>
      <c r="L352" s="23">
        <v>3500.7</v>
      </c>
      <c r="M352" s="19">
        <v>159</v>
      </c>
      <c r="N352" s="15" t="s">
        <v>365</v>
      </c>
      <c r="O352" s="19" t="s">
        <v>366</v>
      </c>
      <c r="P352" s="19"/>
      <c r="Q352" s="157"/>
      <c r="R352" s="194">
        <v>4754302.4800000004</v>
      </c>
      <c r="S352" s="157"/>
      <c r="T352" s="157"/>
      <c r="U352" s="157"/>
      <c r="V352" s="157"/>
      <c r="W352" s="157"/>
      <c r="X352" s="160">
        <v>3702831.57</v>
      </c>
      <c r="Y352" s="157"/>
      <c r="Z352" s="28"/>
      <c r="AA352" s="28"/>
      <c r="AB352" s="157"/>
      <c r="AC352" s="160">
        <f>151890.08+248000</f>
        <v>399890.07999999996</v>
      </c>
      <c r="AD352" s="157">
        <f t="shared" ref="AD352:AD356" si="91">R352+X352+AC352</f>
        <v>8857024.1300000008</v>
      </c>
      <c r="AE352" s="157">
        <v>5002302.4800000004</v>
      </c>
      <c r="AF352" s="157"/>
      <c r="AG352" s="157">
        <f t="shared" ref="AG352:AG356" si="92">AD352-AE352</f>
        <v>3854721.6500000004</v>
      </c>
      <c r="AH352" s="159"/>
      <c r="AI352" s="19">
        <v>2022</v>
      </c>
      <c r="AJ352" s="19">
        <v>2022</v>
      </c>
      <c r="AK352" s="130" t="s">
        <v>511</v>
      </c>
    </row>
    <row r="353" spans="1:37" s="124" customFormat="1" ht="15" hidden="1" customHeight="1" x14ac:dyDescent="0.45">
      <c r="A353" s="140"/>
      <c r="B353" s="141"/>
      <c r="C353" s="143"/>
      <c r="D353" s="141"/>
      <c r="E353" s="141"/>
      <c r="F353" s="141"/>
      <c r="G353" s="141"/>
      <c r="H353" s="141"/>
      <c r="I353" s="141"/>
      <c r="J353" s="149"/>
      <c r="K353" s="149"/>
      <c r="L353" s="149"/>
      <c r="M353" s="141"/>
      <c r="N353" s="148"/>
      <c r="O353" s="141"/>
      <c r="P353" s="141"/>
      <c r="Q353" s="155"/>
      <c r="R353" s="156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6"/>
      <c r="AI353" s="141"/>
      <c r="AJ353" s="141"/>
    </row>
    <row r="354" spans="1:37" ht="54.75" hidden="1" customHeight="1" x14ac:dyDescent="0.45">
      <c r="A354" s="163">
        <v>1</v>
      </c>
      <c r="B354" s="19">
        <v>1</v>
      </c>
      <c r="C354" s="147" t="s">
        <v>300</v>
      </c>
      <c r="D354" s="19" t="s">
        <v>381</v>
      </c>
      <c r="E354" s="146" t="s">
        <v>382</v>
      </c>
      <c r="F354" s="19" t="s">
        <v>383</v>
      </c>
      <c r="G354" s="19">
        <v>1977</v>
      </c>
      <c r="H354" s="19">
        <v>9</v>
      </c>
      <c r="I354" s="19">
        <v>2</v>
      </c>
      <c r="J354" s="23">
        <v>3483</v>
      </c>
      <c r="K354" s="23">
        <v>3482.5</v>
      </c>
      <c r="L354" s="23">
        <v>3482.5</v>
      </c>
      <c r="M354" s="19">
        <v>150</v>
      </c>
      <c r="N354" s="15" t="s">
        <v>365</v>
      </c>
      <c r="O354" s="19" t="s">
        <v>366</v>
      </c>
      <c r="P354" s="19"/>
      <c r="Q354" s="157"/>
      <c r="R354" s="194">
        <v>4754302.4800000004</v>
      </c>
      <c r="S354" s="157"/>
      <c r="T354" s="157"/>
      <c r="U354" s="157"/>
      <c r="V354" s="157"/>
      <c r="W354" s="157"/>
      <c r="X354" s="160">
        <v>3702831.57</v>
      </c>
      <c r="Y354" s="157"/>
      <c r="Z354" s="28"/>
      <c r="AA354" s="28"/>
      <c r="AB354" s="157"/>
      <c r="AC354" s="160">
        <f>248000+151890.08</f>
        <v>399890.07999999996</v>
      </c>
      <c r="AD354" s="157">
        <f t="shared" si="91"/>
        <v>8857024.1300000008</v>
      </c>
      <c r="AE354" s="157">
        <v>5002302.4800000004</v>
      </c>
      <c r="AF354" s="157"/>
      <c r="AG354" s="157">
        <f t="shared" si="92"/>
        <v>3854721.6500000004</v>
      </c>
      <c r="AH354" s="159"/>
      <c r="AI354" s="19">
        <v>2022</v>
      </c>
      <c r="AJ354" s="19">
        <v>2022</v>
      </c>
      <c r="AK354" s="130" t="s">
        <v>511</v>
      </c>
    </row>
    <row r="355" spans="1:37" s="124" customFormat="1" ht="15" hidden="1" customHeight="1" x14ac:dyDescent="0.45">
      <c r="A355" s="140"/>
      <c r="B355" s="141"/>
      <c r="C355" s="143"/>
      <c r="D355" s="141"/>
      <c r="E355" s="141"/>
      <c r="F355" s="141"/>
      <c r="G355" s="141"/>
      <c r="H355" s="141"/>
      <c r="I355" s="141"/>
      <c r="J355" s="149"/>
      <c r="K355" s="149"/>
      <c r="L355" s="149"/>
      <c r="M355" s="141"/>
      <c r="N355" s="148"/>
      <c r="O355" s="141"/>
      <c r="P355" s="141"/>
      <c r="Q355" s="155"/>
      <c r="R355" s="156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6"/>
      <c r="AI355" s="141"/>
      <c r="AJ355" s="141"/>
    </row>
    <row r="356" spans="1:37" ht="54.75" hidden="1" customHeight="1" x14ac:dyDescent="0.45">
      <c r="A356" s="163">
        <v>1</v>
      </c>
      <c r="B356" s="19">
        <v>1</v>
      </c>
      <c r="C356" s="147" t="s">
        <v>301</v>
      </c>
      <c r="D356" s="19" t="s">
        <v>381</v>
      </c>
      <c r="E356" s="146" t="s">
        <v>382</v>
      </c>
      <c r="F356" s="19" t="s">
        <v>383</v>
      </c>
      <c r="G356" s="19">
        <v>1977</v>
      </c>
      <c r="H356" s="19">
        <v>9</v>
      </c>
      <c r="I356" s="19">
        <v>2</v>
      </c>
      <c r="J356" s="23">
        <v>3466</v>
      </c>
      <c r="K356" s="23">
        <v>3465.9</v>
      </c>
      <c r="L356" s="23">
        <v>3465.9</v>
      </c>
      <c r="M356" s="19">
        <v>160</v>
      </c>
      <c r="N356" s="15" t="s">
        <v>365</v>
      </c>
      <c r="O356" s="19" t="s">
        <v>366</v>
      </c>
      <c r="P356" s="19"/>
      <c r="Q356" s="157"/>
      <c r="R356" s="194">
        <v>4754302.4800000004</v>
      </c>
      <c r="S356" s="157"/>
      <c r="T356" s="157"/>
      <c r="U356" s="157"/>
      <c r="V356" s="157"/>
      <c r="W356" s="157"/>
      <c r="X356" s="160">
        <v>3702831.57</v>
      </c>
      <c r="Y356" s="157"/>
      <c r="Z356" s="28"/>
      <c r="AA356" s="28"/>
      <c r="AB356" s="157"/>
      <c r="AC356" s="160">
        <f>151890.08+248000</f>
        <v>399890.07999999996</v>
      </c>
      <c r="AD356" s="157">
        <f t="shared" si="91"/>
        <v>8857024.1300000008</v>
      </c>
      <c r="AE356" s="157">
        <v>5002302.4800000004</v>
      </c>
      <c r="AF356" s="157"/>
      <c r="AG356" s="157">
        <f t="shared" si="92"/>
        <v>3854721.6500000004</v>
      </c>
      <c r="AH356" s="159"/>
      <c r="AI356" s="19">
        <v>2022</v>
      </c>
      <c r="AJ356" s="19">
        <v>2022</v>
      </c>
      <c r="AK356" s="130" t="s">
        <v>511</v>
      </c>
    </row>
    <row r="357" spans="1:37" s="124" customFormat="1" ht="15" hidden="1" customHeight="1" x14ac:dyDescent="0.45">
      <c r="A357" s="140"/>
      <c r="B357" s="141"/>
      <c r="C357" s="143"/>
      <c r="D357" s="141"/>
      <c r="E357" s="141"/>
      <c r="F357" s="141"/>
      <c r="G357" s="141"/>
      <c r="H357" s="141"/>
      <c r="I357" s="141"/>
      <c r="J357" s="149"/>
      <c r="K357" s="149"/>
      <c r="L357" s="149"/>
      <c r="M357" s="141"/>
      <c r="N357" s="148"/>
      <c r="O357" s="141"/>
      <c r="P357" s="141"/>
      <c r="Q357" s="155"/>
      <c r="R357" s="156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6"/>
      <c r="AI357" s="141"/>
      <c r="AJ357" s="141"/>
    </row>
    <row r="358" spans="1:37" ht="54.75" hidden="1" customHeight="1" x14ac:dyDescent="0.45">
      <c r="A358" s="163">
        <v>1</v>
      </c>
      <c r="B358" s="19">
        <v>1</v>
      </c>
      <c r="C358" s="147" t="s">
        <v>302</v>
      </c>
      <c r="D358" s="19" t="s">
        <v>381</v>
      </c>
      <c r="E358" s="146" t="s">
        <v>382</v>
      </c>
      <c r="F358" s="19" t="s">
        <v>383</v>
      </c>
      <c r="G358" s="19">
        <v>1977</v>
      </c>
      <c r="H358" s="19">
        <v>9</v>
      </c>
      <c r="I358" s="19">
        <v>3</v>
      </c>
      <c r="J358" s="23">
        <v>5240.3</v>
      </c>
      <c r="K358" s="23">
        <v>5240.3</v>
      </c>
      <c r="L358" s="23">
        <v>5240.3</v>
      </c>
      <c r="M358" s="19">
        <v>246</v>
      </c>
      <c r="N358" s="15" t="s">
        <v>365</v>
      </c>
      <c r="O358" s="19" t="s">
        <v>366</v>
      </c>
      <c r="P358" s="19"/>
      <c r="Q358" s="157"/>
      <c r="R358" s="158">
        <v>7131453.7199999997</v>
      </c>
      <c r="S358" s="157"/>
      <c r="T358" s="157"/>
      <c r="U358" s="157"/>
      <c r="V358" s="157"/>
      <c r="W358" s="157"/>
      <c r="X358" s="160">
        <v>5554247.3499999996</v>
      </c>
      <c r="Y358" s="157"/>
      <c r="Z358" s="28"/>
      <c r="AA358" s="28"/>
      <c r="AB358" s="157"/>
      <c r="AC358" s="160">
        <f>227835.12+372000</f>
        <v>599835.12</v>
      </c>
      <c r="AD358" s="157">
        <f>AC358+X358</f>
        <v>6154082.4699999997</v>
      </c>
      <c r="AE358" s="157">
        <f t="shared" ref="AE358:AE362" si="93">372000+R358</f>
        <v>7503453.7199999997</v>
      </c>
      <c r="AF358" s="157"/>
      <c r="AG358" s="157">
        <f>AD358</f>
        <v>6154082.4699999997</v>
      </c>
      <c r="AH358" s="159"/>
      <c r="AI358" s="19">
        <v>2022</v>
      </c>
      <c r="AJ358" s="19">
        <v>2022</v>
      </c>
      <c r="AK358" s="130" t="s">
        <v>511</v>
      </c>
    </row>
    <row r="359" spans="1:37" s="124" customFormat="1" ht="15" hidden="1" customHeight="1" x14ac:dyDescent="0.45">
      <c r="A359" s="140"/>
      <c r="B359" s="141"/>
      <c r="C359" s="143"/>
      <c r="D359" s="141"/>
      <c r="E359" s="141"/>
      <c r="F359" s="141"/>
      <c r="G359" s="141"/>
      <c r="H359" s="141"/>
      <c r="I359" s="141"/>
      <c r="J359" s="149"/>
      <c r="K359" s="149"/>
      <c r="L359" s="149"/>
      <c r="M359" s="141"/>
      <c r="N359" s="148"/>
      <c r="O359" s="141"/>
      <c r="P359" s="141"/>
      <c r="Q359" s="155"/>
      <c r="R359" s="156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6"/>
      <c r="AI359" s="141"/>
      <c r="AJ359" s="141"/>
    </row>
    <row r="360" spans="1:37" ht="54.75" hidden="1" customHeight="1" x14ac:dyDescent="0.45">
      <c r="A360" s="163">
        <v>1</v>
      </c>
      <c r="B360" s="19">
        <v>1</v>
      </c>
      <c r="C360" s="147" t="s">
        <v>303</v>
      </c>
      <c r="D360" s="19" t="s">
        <v>381</v>
      </c>
      <c r="E360" s="146" t="s">
        <v>382</v>
      </c>
      <c r="F360" s="19" t="s">
        <v>383</v>
      </c>
      <c r="G360" s="19">
        <v>1978</v>
      </c>
      <c r="H360" s="19">
        <v>9</v>
      </c>
      <c r="I360" s="19">
        <v>5</v>
      </c>
      <c r="J360" s="23">
        <v>8780.2999999999993</v>
      </c>
      <c r="K360" s="23">
        <v>8780.2999999999993</v>
      </c>
      <c r="L360" s="23">
        <v>8780.2999999999993</v>
      </c>
      <c r="M360" s="19">
        <v>412</v>
      </c>
      <c r="N360" s="15"/>
      <c r="O360" s="19" t="s">
        <v>366</v>
      </c>
      <c r="P360" s="19"/>
      <c r="Q360" s="157"/>
      <c r="R360" s="158">
        <v>11885756.199999999</v>
      </c>
      <c r="S360" s="157"/>
      <c r="T360" s="157"/>
      <c r="U360" s="157"/>
      <c r="V360" s="157"/>
      <c r="W360" s="157"/>
      <c r="X360" s="160">
        <v>9257078.9199999999</v>
      </c>
      <c r="Y360" s="157"/>
      <c r="Z360" s="28"/>
      <c r="AA360" s="28"/>
      <c r="AB360" s="157"/>
      <c r="AC360" s="160">
        <f>379725.2+620000</f>
        <v>999725.2</v>
      </c>
      <c r="AD360" s="157">
        <f>R360+X360+AC360</f>
        <v>22142560.319999997</v>
      </c>
      <c r="AE360" s="157">
        <f t="shared" si="93"/>
        <v>12257756.199999999</v>
      </c>
      <c r="AF360" s="157"/>
      <c r="AG360" s="157">
        <f>AD360-AE360</f>
        <v>9884804.1199999973</v>
      </c>
      <c r="AH360" s="159"/>
      <c r="AI360" s="19">
        <v>2022</v>
      </c>
      <c r="AJ360" s="19">
        <v>2022</v>
      </c>
      <c r="AK360" s="130" t="s">
        <v>511</v>
      </c>
    </row>
    <row r="361" spans="1:37" s="124" customFormat="1" ht="15" hidden="1" customHeight="1" x14ac:dyDescent="0.45">
      <c r="A361" s="140"/>
      <c r="B361" s="141"/>
      <c r="C361" s="143"/>
      <c r="D361" s="141"/>
      <c r="E361" s="141"/>
      <c r="F361" s="141"/>
      <c r="G361" s="141"/>
      <c r="H361" s="141"/>
      <c r="I361" s="141"/>
      <c r="J361" s="149"/>
      <c r="K361" s="149"/>
      <c r="L361" s="149"/>
      <c r="M361" s="141"/>
      <c r="N361" s="148"/>
      <c r="O361" s="141"/>
      <c r="P361" s="141"/>
      <c r="Q361" s="155"/>
      <c r="R361" s="156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6"/>
      <c r="AI361" s="141"/>
      <c r="AJ361" s="141"/>
    </row>
    <row r="362" spans="1:37" ht="54.75" hidden="1" customHeight="1" x14ac:dyDescent="0.45">
      <c r="A362" s="163">
        <v>1</v>
      </c>
      <c r="B362" s="19">
        <v>1</v>
      </c>
      <c r="C362" s="147" t="s">
        <v>304</v>
      </c>
      <c r="D362" s="19" t="s">
        <v>381</v>
      </c>
      <c r="E362" s="146" t="s">
        <v>382</v>
      </c>
      <c r="F362" s="19" t="s">
        <v>383</v>
      </c>
      <c r="G362" s="19">
        <v>1979</v>
      </c>
      <c r="H362" s="19">
        <v>9</v>
      </c>
      <c r="I362" s="19">
        <v>3</v>
      </c>
      <c r="J362" s="23">
        <v>5706.6</v>
      </c>
      <c r="K362" s="23">
        <v>5706.6</v>
      </c>
      <c r="L362" s="23">
        <v>5706.6</v>
      </c>
      <c r="M362" s="19" t="s">
        <v>364</v>
      </c>
      <c r="N362" s="15"/>
      <c r="O362" s="19" t="s">
        <v>366</v>
      </c>
      <c r="P362" s="19"/>
      <c r="Q362" s="157"/>
      <c r="R362" s="158">
        <v>7131453.7199999997</v>
      </c>
      <c r="S362" s="157"/>
      <c r="T362" s="157"/>
      <c r="U362" s="157"/>
      <c r="V362" s="157"/>
      <c r="W362" s="157"/>
      <c r="X362" s="160">
        <v>5554247.3499999996</v>
      </c>
      <c r="Y362" s="157"/>
      <c r="Z362" s="157"/>
      <c r="AA362" s="157"/>
      <c r="AB362" s="157"/>
      <c r="AC362" s="160">
        <f>227835.12+372000</f>
        <v>599835.12</v>
      </c>
      <c r="AD362" s="157">
        <f>R362+X362+AC362</f>
        <v>13285536.189999999</v>
      </c>
      <c r="AE362" s="157">
        <f t="shared" si="93"/>
        <v>7503453.7199999997</v>
      </c>
      <c r="AF362" s="157"/>
      <c r="AG362" s="157">
        <f>AD362-AE362</f>
        <v>5782082.4699999997</v>
      </c>
      <c r="AH362" s="159"/>
      <c r="AI362" s="19">
        <v>2022</v>
      </c>
      <c r="AJ362" s="19">
        <v>2022</v>
      </c>
      <c r="AK362" s="130" t="s">
        <v>511</v>
      </c>
    </row>
    <row r="363" spans="1:37" s="124" customFormat="1" ht="15" hidden="1" customHeight="1" x14ac:dyDescent="0.45">
      <c r="A363" s="140"/>
      <c r="B363" s="141"/>
      <c r="C363" s="143"/>
      <c r="D363" s="141"/>
      <c r="E363" s="141"/>
      <c r="F363" s="141"/>
      <c r="G363" s="141"/>
      <c r="H363" s="141"/>
      <c r="I363" s="141"/>
      <c r="J363" s="149"/>
      <c r="K363" s="149"/>
      <c r="L363" s="149"/>
      <c r="M363" s="141"/>
      <c r="N363" s="148"/>
      <c r="O363" s="141"/>
      <c r="P363" s="141"/>
      <c r="Q363" s="155"/>
      <c r="R363" s="156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6"/>
      <c r="AI363" s="141"/>
      <c r="AJ363" s="141"/>
    </row>
    <row r="364" spans="1:37" ht="84.9" hidden="1" customHeight="1" x14ac:dyDescent="0.45">
      <c r="A364" s="163">
        <v>1</v>
      </c>
      <c r="B364" s="19">
        <v>281</v>
      </c>
      <c r="C364" s="138" t="s">
        <v>512</v>
      </c>
      <c r="D364" s="19"/>
      <c r="E364" s="19"/>
      <c r="F364" s="19" t="s">
        <v>376</v>
      </c>
      <c r="G364" s="19">
        <v>1962</v>
      </c>
      <c r="H364" s="19">
        <v>5</v>
      </c>
      <c r="I364" s="19">
        <v>3</v>
      </c>
      <c r="J364" s="23">
        <v>2963.9</v>
      </c>
      <c r="K364" s="23">
        <v>2743</v>
      </c>
      <c r="L364" s="23">
        <v>2431.5</v>
      </c>
      <c r="M364" s="19">
        <v>107</v>
      </c>
      <c r="N364" s="15" t="s">
        <v>365</v>
      </c>
      <c r="O364" s="19" t="s">
        <v>366</v>
      </c>
      <c r="P364" s="19"/>
      <c r="Q364" s="28"/>
      <c r="R364" s="37"/>
      <c r="S364" s="28"/>
      <c r="T364" s="28"/>
      <c r="U364" s="28"/>
      <c r="V364" s="28"/>
      <c r="W364" s="28"/>
      <c r="X364" s="28"/>
      <c r="Y364" s="28">
        <v>9197335.9399999995</v>
      </c>
      <c r="Z364" s="28"/>
      <c r="AA364" s="28"/>
      <c r="AB364" s="28"/>
      <c r="AC364" s="28">
        <v>543684.88</v>
      </c>
      <c r="AD364" s="28">
        <f t="shared" ref="AD364:AD368" si="94">SUM(Q364:AC364)</f>
        <v>9741020.8200000003</v>
      </c>
      <c r="AE364" s="28"/>
      <c r="AF364" s="28"/>
      <c r="AG364" s="28">
        <f>SUM(Y364+AC364)</f>
        <v>9741020.8200000003</v>
      </c>
      <c r="AH364" s="37"/>
      <c r="AI364" s="19">
        <v>2022</v>
      </c>
      <c r="AJ364" s="19">
        <v>2022</v>
      </c>
    </row>
    <row r="365" spans="1:37" s="124" customFormat="1" ht="15" hidden="1" customHeight="1" x14ac:dyDescent="0.45">
      <c r="A365" s="140"/>
      <c r="B365" s="141"/>
      <c r="C365" s="143"/>
      <c r="D365" s="141"/>
      <c r="E365" s="141"/>
      <c r="F365" s="141"/>
      <c r="G365" s="141"/>
      <c r="H365" s="141"/>
      <c r="I365" s="141"/>
      <c r="J365" s="149"/>
      <c r="K365" s="149"/>
      <c r="L365" s="149"/>
      <c r="M365" s="141"/>
      <c r="N365" s="148"/>
      <c r="O365" s="141"/>
      <c r="P365" s="141"/>
      <c r="Q365" s="171"/>
      <c r="R365" s="162"/>
      <c r="S365" s="171"/>
      <c r="T365" s="171"/>
      <c r="U365" s="171"/>
      <c r="V365" s="171"/>
      <c r="W365" s="171"/>
      <c r="X365" s="171"/>
      <c r="Y365" s="171">
        <v>9197335.9399999995</v>
      </c>
      <c r="Z365" s="171"/>
      <c r="AA365" s="171"/>
      <c r="AB365" s="171"/>
      <c r="AC365" s="171">
        <v>543684.88</v>
      </c>
      <c r="AD365" s="171">
        <v>9741020.8200000003</v>
      </c>
      <c r="AE365" s="171"/>
      <c r="AF365" s="171"/>
      <c r="AG365" s="171">
        <v>9741020.8200000003</v>
      </c>
      <c r="AH365" s="162"/>
      <c r="AI365" s="141"/>
      <c r="AJ365" s="141"/>
    </row>
    <row r="366" spans="1:37" ht="84.9" hidden="1" customHeight="1" x14ac:dyDescent="0.45">
      <c r="A366" s="163">
        <v>1</v>
      </c>
      <c r="B366" s="19">
        <v>282</v>
      </c>
      <c r="C366" s="138" t="s">
        <v>513</v>
      </c>
      <c r="D366" s="19" t="s">
        <v>362</v>
      </c>
      <c r="E366" s="19" t="s">
        <v>445</v>
      </c>
      <c r="F366" s="19" t="s">
        <v>370</v>
      </c>
      <c r="G366" s="19">
        <v>1953</v>
      </c>
      <c r="H366" s="19">
        <v>4</v>
      </c>
      <c r="I366" s="19">
        <v>3</v>
      </c>
      <c r="J366" s="23">
        <v>1621.2</v>
      </c>
      <c r="K366" s="23">
        <v>1040.3</v>
      </c>
      <c r="L366" s="23" t="s">
        <v>364</v>
      </c>
      <c r="M366" s="19" t="s">
        <v>364</v>
      </c>
      <c r="N366" s="15" t="s">
        <v>365</v>
      </c>
      <c r="O366" s="19" t="s">
        <v>366</v>
      </c>
      <c r="P366" s="19"/>
      <c r="Q366" s="28"/>
      <c r="R366" s="37"/>
      <c r="S366" s="28"/>
      <c r="T366" s="28"/>
      <c r="U366" s="28"/>
      <c r="V366" s="28"/>
      <c r="W366" s="28"/>
      <c r="X366" s="28"/>
      <c r="Y366" s="28"/>
      <c r="Z366" s="99">
        <v>2933294.07</v>
      </c>
      <c r="AA366" s="28"/>
      <c r="AB366" s="28"/>
      <c r="AC366" s="28">
        <v>7014.9</v>
      </c>
      <c r="AD366" s="28">
        <f t="shared" si="94"/>
        <v>2940308.9699999997</v>
      </c>
      <c r="AE366" s="28"/>
      <c r="AF366" s="28"/>
      <c r="AG366" s="28">
        <f>AD366</f>
        <v>2940308.9699999997</v>
      </c>
      <c r="AH366" s="37"/>
      <c r="AI366" s="19">
        <v>2020</v>
      </c>
      <c r="AJ366" s="19">
        <v>2022</v>
      </c>
    </row>
    <row r="367" spans="1:37" s="124" customFormat="1" ht="15" hidden="1" customHeight="1" x14ac:dyDescent="0.45">
      <c r="A367" s="140"/>
      <c r="B367" s="141"/>
      <c r="C367" s="143"/>
      <c r="D367" s="141"/>
      <c r="E367" s="141"/>
      <c r="F367" s="141"/>
      <c r="G367" s="141"/>
      <c r="H367" s="141"/>
      <c r="I367" s="141"/>
      <c r="J367" s="149"/>
      <c r="K367" s="149"/>
      <c r="L367" s="149"/>
      <c r="M367" s="141"/>
      <c r="N367" s="148"/>
      <c r="O367" s="141"/>
      <c r="P367" s="141"/>
      <c r="Q367" s="171"/>
      <c r="R367" s="162"/>
      <c r="S367" s="171"/>
      <c r="T367" s="171"/>
      <c r="U367" s="171"/>
      <c r="V367" s="171"/>
      <c r="W367" s="171"/>
      <c r="X367" s="171"/>
      <c r="Y367" s="171"/>
      <c r="Z367" s="171">
        <v>163137.24525000001</v>
      </c>
      <c r="AA367" s="171"/>
      <c r="AB367" s="171"/>
      <c r="AC367" s="171">
        <v>7014.9</v>
      </c>
      <c r="AD367" s="171">
        <v>170152.14525</v>
      </c>
      <c r="AE367" s="171"/>
      <c r="AF367" s="171"/>
      <c r="AG367" s="171">
        <v>170152.14525</v>
      </c>
      <c r="AH367" s="162"/>
      <c r="AI367" s="141"/>
      <c r="AJ367" s="141"/>
    </row>
    <row r="368" spans="1:37" ht="84.9" hidden="1" customHeight="1" x14ac:dyDescent="0.45">
      <c r="A368" s="163">
        <v>1</v>
      </c>
      <c r="B368" s="19">
        <v>283</v>
      </c>
      <c r="C368" s="138" t="s">
        <v>514</v>
      </c>
      <c r="D368" s="19" t="s">
        <v>362</v>
      </c>
      <c r="E368" s="19"/>
      <c r="F368" s="19" t="s">
        <v>376</v>
      </c>
      <c r="G368" s="19">
        <v>1959</v>
      </c>
      <c r="H368" s="19">
        <v>3</v>
      </c>
      <c r="I368" s="19">
        <v>2</v>
      </c>
      <c r="J368" s="23">
        <v>1328.3</v>
      </c>
      <c r="K368" s="23">
        <v>1310.9</v>
      </c>
      <c r="L368" s="23">
        <v>703.5</v>
      </c>
      <c r="M368" s="19">
        <v>31</v>
      </c>
      <c r="N368" s="15" t="s">
        <v>365</v>
      </c>
      <c r="O368" s="19" t="s">
        <v>366</v>
      </c>
      <c r="P368" s="19"/>
      <c r="Q368" s="28"/>
      <c r="R368" s="37"/>
      <c r="S368" s="28"/>
      <c r="T368" s="28"/>
      <c r="U368" s="28"/>
      <c r="V368" s="28"/>
      <c r="W368" s="28"/>
      <c r="X368" s="28"/>
      <c r="Y368" s="99">
        <v>7373778.3099999996</v>
      </c>
      <c r="Z368" s="28"/>
      <c r="AA368" s="28"/>
      <c r="AB368" s="28"/>
      <c r="AC368" s="28">
        <v>310356.7</v>
      </c>
      <c r="AD368" s="99">
        <f t="shared" si="94"/>
        <v>7684135.0099999998</v>
      </c>
      <c r="AE368" s="28"/>
      <c r="AF368" s="28"/>
      <c r="AG368" s="28">
        <f>SUM(Y368+AC368)</f>
        <v>7684135.0099999998</v>
      </c>
      <c r="AH368" s="37"/>
      <c r="AI368" s="19">
        <v>2022</v>
      </c>
      <c r="AJ368" s="19">
        <v>2022</v>
      </c>
    </row>
    <row r="369" spans="1:37" s="124" customFormat="1" ht="15" hidden="1" customHeight="1" x14ac:dyDescent="0.45">
      <c r="A369" s="140"/>
      <c r="B369" s="141"/>
      <c r="C369" s="143"/>
      <c r="D369" s="141"/>
      <c r="E369" s="141"/>
      <c r="F369" s="141"/>
      <c r="G369" s="141"/>
      <c r="H369" s="141"/>
      <c r="I369" s="141"/>
      <c r="J369" s="149"/>
      <c r="K369" s="149"/>
      <c r="L369" s="149"/>
      <c r="M369" s="141"/>
      <c r="N369" s="148"/>
      <c r="O369" s="141"/>
      <c r="P369" s="141"/>
      <c r="Q369" s="171"/>
      <c r="R369" s="162"/>
      <c r="S369" s="171"/>
      <c r="T369" s="171"/>
      <c r="U369" s="171"/>
      <c r="V369" s="171"/>
      <c r="W369" s="171"/>
      <c r="X369" s="171"/>
      <c r="Y369" s="171">
        <v>5250200.7699999996</v>
      </c>
      <c r="Z369" s="171"/>
      <c r="AA369" s="171"/>
      <c r="AB369" s="171"/>
      <c r="AC369" s="171">
        <v>310356.7</v>
      </c>
      <c r="AD369" s="171">
        <v>5560557.4699999997</v>
      </c>
      <c r="AE369" s="171"/>
      <c r="AF369" s="171"/>
      <c r="AG369" s="171">
        <v>5560557.4699999997</v>
      </c>
      <c r="AH369" s="162"/>
      <c r="AI369" s="141"/>
      <c r="AJ369" s="141"/>
    </row>
    <row r="370" spans="1:37" ht="51" hidden="1" customHeight="1" x14ac:dyDescent="0.45">
      <c r="A370" s="163">
        <v>1</v>
      </c>
      <c r="B370" s="19">
        <v>1</v>
      </c>
      <c r="C370" s="145" t="s">
        <v>305</v>
      </c>
      <c r="D370" s="19" t="s">
        <v>381</v>
      </c>
      <c r="E370" s="146" t="s">
        <v>382</v>
      </c>
      <c r="F370" s="19" t="s">
        <v>383</v>
      </c>
      <c r="G370" s="19" t="s">
        <v>515</v>
      </c>
      <c r="H370" s="19">
        <v>9</v>
      </c>
      <c r="I370" s="19">
        <v>3</v>
      </c>
      <c r="J370" s="23">
        <v>5200</v>
      </c>
      <c r="K370" s="23"/>
      <c r="L370" s="23"/>
      <c r="M370" s="19">
        <v>270</v>
      </c>
      <c r="N370" s="15" t="s">
        <v>365</v>
      </c>
      <c r="O370" s="19" t="s">
        <v>366</v>
      </c>
      <c r="P370" s="19"/>
      <c r="Q370" s="28"/>
      <c r="R370" s="158">
        <v>7131453.7199999997</v>
      </c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197">
        <v>372000</v>
      </c>
      <c r="AD370" s="28">
        <f>R370+AC370</f>
        <v>7503453.7199999997</v>
      </c>
      <c r="AE370" s="28"/>
      <c r="AF370" s="28"/>
      <c r="AG370" s="28"/>
      <c r="AH370" s="37"/>
      <c r="AI370" s="19">
        <v>2022</v>
      </c>
      <c r="AJ370" s="19">
        <v>2022</v>
      </c>
      <c r="AK370" s="130" t="s">
        <v>387</v>
      </c>
    </row>
    <row r="371" spans="1:37" s="124" customFormat="1" ht="15" hidden="1" customHeight="1" x14ac:dyDescent="0.45">
      <c r="A371" s="140"/>
      <c r="B371" s="141"/>
      <c r="C371" s="143"/>
      <c r="D371" s="141"/>
      <c r="E371" s="141"/>
      <c r="F371" s="141"/>
      <c r="G371" s="141"/>
      <c r="H371" s="141"/>
      <c r="I371" s="141"/>
      <c r="J371" s="149"/>
      <c r="K371" s="149"/>
      <c r="L371" s="149"/>
      <c r="M371" s="141"/>
      <c r="N371" s="148"/>
      <c r="O371" s="141"/>
      <c r="P371" s="141"/>
      <c r="Q371" s="171"/>
      <c r="R371" s="162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62"/>
      <c r="AI371" s="141"/>
      <c r="AJ371" s="141"/>
    </row>
    <row r="372" spans="1:37" ht="84.9" hidden="1" customHeight="1" x14ac:dyDescent="0.45">
      <c r="A372" s="163">
        <v>1</v>
      </c>
      <c r="B372" s="19">
        <v>284</v>
      </c>
      <c r="C372" s="138" t="s">
        <v>516</v>
      </c>
      <c r="D372" s="19" t="s">
        <v>362</v>
      </c>
      <c r="E372" s="19" t="s">
        <v>369</v>
      </c>
      <c r="F372" s="19" t="s">
        <v>370</v>
      </c>
      <c r="G372" s="19">
        <v>1956</v>
      </c>
      <c r="H372" s="19">
        <v>5</v>
      </c>
      <c r="I372" s="19">
        <v>2</v>
      </c>
      <c r="J372" s="23">
        <v>2975.2</v>
      </c>
      <c r="K372" s="23">
        <v>1667.3</v>
      </c>
      <c r="L372" s="23" t="s">
        <v>364</v>
      </c>
      <c r="M372" s="19" t="s">
        <v>364</v>
      </c>
      <c r="N372" s="15" t="s">
        <v>365</v>
      </c>
      <c r="O372" s="19" t="s">
        <v>366</v>
      </c>
      <c r="P372" s="19"/>
      <c r="Q372" s="28"/>
      <c r="R372" s="37"/>
      <c r="S372" s="28"/>
      <c r="T372" s="28"/>
      <c r="U372" s="28"/>
      <c r="V372" s="28"/>
      <c r="W372" s="28"/>
      <c r="X372" s="28"/>
      <c r="Y372" s="99">
        <v>11643967.220000001</v>
      </c>
      <c r="Z372" s="28"/>
      <c r="AA372" s="28"/>
      <c r="AB372" s="28"/>
      <c r="AC372" s="28">
        <v>486116.38</v>
      </c>
      <c r="AD372" s="99">
        <f t="shared" ref="AD372:AD378" si="95">SUM(Q372:AC372)</f>
        <v>12130083.600000001</v>
      </c>
      <c r="AE372" s="28"/>
      <c r="AF372" s="28"/>
      <c r="AG372" s="28">
        <f>SUM(Q372:AC372)</f>
        <v>12130083.600000001</v>
      </c>
      <c r="AH372" s="37"/>
      <c r="AI372" s="19">
        <v>2020</v>
      </c>
      <c r="AJ372" s="19">
        <v>2022</v>
      </c>
    </row>
    <row r="373" spans="1:37" s="124" customFormat="1" ht="15" hidden="1" customHeight="1" x14ac:dyDescent="0.45">
      <c r="A373" s="140"/>
      <c r="B373" s="141"/>
      <c r="C373" s="143"/>
      <c r="D373" s="200"/>
      <c r="E373" s="141"/>
      <c r="F373" s="200"/>
      <c r="G373" s="200"/>
      <c r="H373" s="200"/>
      <c r="I373" s="200"/>
      <c r="J373" s="205"/>
      <c r="K373" s="205"/>
      <c r="L373" s="205"/>
      <c r="M373" s="200"/>
      <c r="N373" s="148"/>
      <c r="O373" s="141"/>
      <c r="P373" s="200"/>
      <c r="Q373" s="208"/>
      <c r="R373" s="209"/>
      <c r="S373" s="208"/>
      <c r="T373" s="208"/>
      <c r="U373" s="208"/>
      <c r="V373" s="208"/>
      <c r="W373" s="208"/>
      <c r="X373" s="208"/>
      <c r="Y373" s="208">
        <v>6307728.2800000003</v>
      </c>
      <c r="Z373" s="208"/>
      <c r="AA373" s="208"/>
      <c r="AB373" s="208"/>
      <c r="AC373" s="208">
        <v>486116.38</v>
      </c>
      <c r="AD373" s="171">
        <v>6793844.6600000001</v>
      </c>
      <c r="AE373" s="171"/>
      <c r="AF373" s="171"/>
      <c r="AG373" s="171">
        <v>6793844.6600000001</v>
      </c>
      <c r="AH373" s="209"/>
      <c r="AI373" s="200"/>
      <c r="AJ373" s="200"/>
    </row>
    <row r="374" spans="1:37" ht="84.9" hidden="1" customHeight="1" x14ac:dyDescent="0.45">
      <c r="A374" s="163">
        <v>1</v>
      </c>
      <c r="B374" s="19">
        <v>285</v>
      </c>
      <c r="C374" s="138" t="s">
        <v>517</v>
      </c>
      <c r="D374" s="19" t="s">
        <v>362</v>
      </c>
      <c r="E374" s="19"/>
      <c r="F374" s="19" t="s">
        <v>376</v>
      </c>
      <c r="G374" s="14">
        <v>1957</v>
      </c>
      <c r="H374" s="14">
        <v>5</v>
      </c>
      <c r="I374" s="14">
        <v>9</v>
      </c>
      <c r="J374" s="42">
        <v>11300.71</v>
      </c>
      <c r="K374" s="42">
        <v>10369.1</v>
      </c>
      <c r="L374" s="42">
        <v>7571.6</v>
      </c>
      <c r="M374" s="14">
        <v>141</v>
      </c>
      <c r="N374" s="15" t="s">
        <v>365</v>
      </c>
      <c r="O374" s="19" t="s">
        <v>366</v>
      </c>
      <c r="P374" s="14"/>
      <c r="Q374" s="45"/>
      <c r="R374" s="46"/>
      <c r="S374" s="45"/>
      <c r="T374" s="45"/>
      <c r="U374" s="45"/>
      <c r="V374" s="45"/>
      <c r="W374" s="45"/>
      <c r="X374" s="45"/>
      <c r="Y374" s="215">
        <v>40562734.329999998</v>
      </c>
      <c r="Z374" s="45"/>
      <c r="AA374" s="45"/>
      <c r="AB374" s="45"/>
      <c r="AC374" s="45">
        <v>2327236.1</v>
      </c>
      <c r="AD374" s="99">
        <f t="shared" si="95"/>
        <v>42889970.43</v>
      </c>
      <c r="AE374" s="28"/>
      <c r="AF374" s="28"/>
      <c r="AG374" s="28">
        <f>SUM(Y374+AC374)</f>
        <v>42889970.43</v>
      </c>
      <c r="AH374" s="46"/>
      <c r="AI374" s="14">
        <v>2022</v>
      </c>
      <c r="AJ374" s="14">
        <v>2023</v>
      </c>
    </row>
    <row r="375" spans="1:37" s="124" customFormat="1" ht="15" hidden="1" customHeight="1" x14ac:dyDescent="0.45">
      <c r="A375" s="140"/>
      <c r="B375" s="141"/>
      <c r="C375" s="201"/>
      <c r="D375" s="200"/>
      <c r="E375" s="141"/>
      <c r="F375" s="200"/>
      <c r="G375" s="200"/>
      <c r="H375" s="200"/>
      <c r="I375" s="200"/>
      <c r="J375" s="205"/>
      <c r="K375" s="205"/>
      <c r="L375" s="205"/>
      <c r="M375" s="200"/>
      <c r="N375" s="206"/>
      <c r="O375" s="200"/>
      <c r="P375" s="200"/>
      <c r="Q375" s="208"/>
      <c r="R375" s="209"/>
      <c r="S375" s="208"/>
      <c r="T375" s="208"/>
      <c r="U375" s="208"/>
      <c r="V375" s="208"/>
      <c r="W375" s="208"/>
      <c r="X375" s="208"/>
      <c r="Y375" s="208">
        <v>29627805.949999999</v>
      </c>
      <c r="Z375" s="208"/>
      <c r="AA375" s="208"/>
      <c r="AB375" s="208"/>
      <c r="AC375" s="208">
        <v>2327236.1</v>
      </c>
      <c r="AD375" s="171">
        <v>31955042.050000001</v>
      </c>
      <c r="AE375" s="171"/>
      <c r="AF375" s="171"/>
      <c r="AG375" s="171">
        <v>31955042.050000001</v>
      </c>
      <c r="AH375" s="209"/>
      <c r="AI375" s="200"/>
      <c r="AJ375" s="200"/>
    </row>
    <row r="376" spans="1:37" ht="84.9" hidden="1" customHeight="1" x14ac:dyDescent="0.45">
      <c r="A376" s="163">
        <v>1</v>
      </c>
      <c r="B376" s="19">
        <v>286</v>
      </c>
      <c r="C376" s="202" t="s">
        <v>518</v>
      </c>
      <c r="D376" s="14"/>
      <c r="E376" s="19"/>
      <c r="F376" s="19" t="s">
        <v>376</v>
      </c>
      <c r="G376" s="14">
        <v>1951</v>
      </c>
      <c r="H376" s="14">
        <v>2</v>
      </c>
      <c r="I376" s="14">
        <v>2</v>
      </c>
      <c r="J376" s="42">
        <v>954.8</v>
      </c>
      <c r="K376" s="42">
        <v>954.8</v>
      </c>
      <c r="L376" s="42">
        <v>592.20000000000005</v>
      </c>
      <c r="M376" s="14">
        <v>33</v>
      </c>
      <c r="N376" s="44" t="s">
        <v>460</v>
      </c>
      <c r="O376" s="14" t="s">
        <v>366</v>
      </c>
      <c r="P376" s="14"/>
      <c r="Q376" s="45"/>
      <c r="R376" s="46"/>
      <c r="S376" s="45"/>
      <c r="T376" s="45"/>
      <c r="U376" s="45"/>
      <c r="V376" s="45"/>
      <c r="W376" s="45"/>
      <c r="X376" s="45"/>
      <c r="Y376" s="45"/>
      <c r="Z376" s="45"/>
      <c r="AA376" s="45">
        <v>6280782.7699999996</v>
      </c>
      <c r="AB376" s="45"/>
      <c r="AC376" s="45"/>
      <c r="AD376" s="28">
        <f t="shared" si="95"/>
        <v>6280782.7699999996</v>
      </c>
      <c r="AE376" s="28"/>
      <c r="AF376" s="28"/>
      <c r="AG376" s="28">
        <f t="shared" ref="AG376:AG378" si="96">AD376</f>
        <v>6280782.7699999996</v>
      </c>
      <c r="AH376" s="46"/>
      <c r="AI376" s="14">
        <v>2022</v>
      </c>
      <c r="AJ376" s="14">
        <v>2023</v>
      </c>
    </row>
    <row r="377" spans="1:37" s="124" customFormat="1" ht="15" hidden="1" customHeight="1" x14ac:dyDescent="0.45">
      <c r="A377" s="140"/>
      <c r="B377" s="141"/>
      <c r="C377" s="201"/>
      <c r="D377" s="200"/>
      <c r="E377" s="141"/>
      <c r="F377" s="200"/>
      <c r="G377" s="200"/>
      <c r="H377" s="200"/>
      <c r="I377" s="200"/>
      <c r="J377" s="205"/>
      <c r="K377" s="205"/>
      <c r="L377" s="205"/>
      <c r="M377" s="200"/>
      <c r="N377" s="206"/>
      <c r="O377" s="200"/>
      <c r="P377" s="200"/>
      <c r="Q377" s="210"/>
      <c r="R377" s="211"/>
      <c r="S377" s="210"/>
      <c r="T377" s="210"/>
      <c r="U377" s="210"/>
      <c r="V377" s="210"/>
      <c r="W377" s="210"/>
      <c r="X377" s="210"/>
      <c r="Y377" s="210"/>
      <c r="Z377" s="210"/>
      <c r="AA377" s="210">
        <v>6280782.7699999996</v>
      </c>
      <c r="AB377" s="210"/>
      <c r="AC377" s="210"/>
      <c r="AD377" s="155">
        <f t="shared" si="95"/>
        <v>6280782.7699999996</v>
      </c>
      <c r="AE377" s="155"/>
      <c r="AF377" s="155"/>
      <c r="AG377" s="155">
        <f t="shared" si="96"/>
        <v>6280782.7699999996</v>
      </c>
      <c r="AH377" s="211"/>
      <c r="AI377" s="200"/>
      <c r="AJ377" s="200"/>
    </row>
    <row r="378" spans="1:37" ht="84.9" hidden="1" customHeight="1" x14ac:dyDescent="0.45">
      <c r="A378" s="163">
        <v>1</v>
      </c>
      <c r="B378" s="19">
        <v>287</v>
      </c>
      <c r="C378" s="202" t="s">
        <v>519</v>
      </c>
      <c r="D378" s="14"/>
      <c r="E378" s="19"/>
      <c r="F378" s="14" t="s">
        <v>520</v>
      </c>
      <c r="G378" s="14">
        <v>1951</v>
      </c>
      <c r="H378" s="14">
        <v>3</v>
      </c>
      <c r="I378" s="14">
        <v>3</v>
      </c>
      <c r="J378" s="42">
        <v>1914.5</v>
      </c>
      <c r="K378" s="42">
        <v>1905.9</v>
      </c>
      <c r="L378" s="42" t="s">
        <v>364</v>
      </c>
      <c r="M378" s="14" t="s">
        <v>364</v>
      </c>
      <c r="N378" s="44" t="s">
        <v>423</v>
      </c>
      <c r="O378" s="14" t="s">
        <v>366</v>
      </c>
      <c r="P378" s="14"/>
      <c r="Q378" s="45"/>
      <c r="R378" s="46"/>
      <c r="S378" s="45"/>
      <c r="T378" s="45"/>
      <c r="U378" s="45"/>
      <c r="V378" s="45"/>
      <c r="W378" s="45"/>
      <c r="X378" s="45"/>
      <c r="Y378" s="45"/>
      <c r="Z378" s="45"/>
      <c r="AA378" s="45">
        <v>7432827.1299999999</v>
      </c>
      <c r="AB378" s="45"/>
      <c r="AC378" s="45">
        <v>619835.74</v>
      </c>
      <c r="AD378" s="28">
        <f t="shared" si="95"/>
        <v>8052662.8700000001</v>
      </c>
      <c r="AE378" s="28"/>
      <c r="AF378" s="28"/>
      <c r="AG378" s="28">
        <f t="shared" si="96"/>
        <v>8052662.8700000001</v>
      </c>
      <c r="AH378" s="46"/>
      <c r="AI378" s="14">
        <v>2022</v>
      </c>
      <c r="AJ378" s="14">
        <v>2023</v>
      </c>
    </row>
    <row r="379" spans="1:37" s="124" customFormat="1" ht="15" hidden="1" customHeight="1" x14ac:dyDescent="0.45">
      <c r="A379" s="140"/>
      <c r="B379" s="141"/>
      <c r="C379" s="201"/>
      <c r="D379" s="200"/>
      <c r="E379" s="141"/>
      <c r="F379" s="200"/>
      <c r="G379" s="200"/>
      <c r="H379" s="200"/>
      <c r="I379" s="200"/>
      <c r="J379" s="205"/>
      <c r="K379" s="205"/>
      <c r="L379" s="205"/>
      <c r="M379" s="200"/>
      <c r="N379" s="206"/>
      <c r="O379" s="200"/>
      <c r="P379" s="200"/>
      <c r="Q379" s="208"/>
      <c r="R379" s="209"/>
      <c r="S379" s="208"/>
      <c r="T379" s="208"/>
      <c r="U379" s="208"/>
      <c r="V379" s="208"/>
      <c r="W379" s="208"/>
      <c r="X379" s="208"/>
      <c r="Y379" s="208"/>
      <c r="Z379" s="208"/>
      <c r="AA379" s="208">
        <v>7432827.1299999999</v>
      </c>
      <c r="AB379" s="208"/>
      <c r="AC379" s="208">
        <v>619835.74</v>
      </c>
      <c r="AD379" s="171">
        <v>8052662.8700000001</v>
      </c>
      <c r="AE379" s="171"/>
      <c r="AF379" s="171"/>
      <c r="AG379" s="171">
        <v>8052662.8700000001</v>
      </c>
      <c r="AH379" s="209"/>
      <c r="AI379" s="200"/>
      <c r="AJ379" s="200"/>
    </row>
    <row r="380" spans="1:37" ht="84.9" hidden="1" customHeight="1" x14ac:dyDescent="0.45">
      <c r="A380" s="163">
        <v>1</v>
      </c>
      <c r="B380" s="19">
        <v>288</v>
      </c>
      <c r="C380" s="202" t="s">
        <v>521</v>
      </c>
      <c r="D380" s="14"/>
      <c r="E380" s="19"/>
      <c r="F380" s="19" t="s">
        <v>376</v>
      </c>
      <c r="G380" s="14">
        <v>1955</v>
      </c>
      <c r="H380" s="14">
        <v>4</v>
      </c>
      <c r="I380" s="14">
        <v>3</v>
      </c>
      <c r="J380" s="42">
        <v>2501.6999999999998</v>
      </c>
      <c r="K380" s="42">
        <v>2460.8000000000002</v>
      </c>
      <c r="L380" s="42">
        <v>1736.4</v>
      </c>
      <c r="M380" s="14">
        <v>51</v>
      </c>
      <c r="N380" s="44" t="s">
        <v>365</v>
      </c>
      <c r="O380" s="14" t="s">
        <v>366</v>
      </c>
      <c r="P380" s="14"/>
      <c r="Q380" s="45"/>
      <c r="R380" s="46"/>
      <c r="S380" s="45"/>
      <c r="T380" s="45"/>
      <c r="U380" s="45"/>
      <c r="V380" s="45"/>
      <c r="W380" s="45"/>
      <c r="X380" s="45"/>
      <c r="Y380" s="45">
        <v>15206067.59</v>
      </c>
      <c r="Z380" s="45"/>
      <c r="AA380" s="45"/>
      <c r="AB380" s="45"/>
      <c r="AC380" s="45">
        <v>852955.1</v>
      </c>
      <c r="AD380" s="28">
        <f t="shared" ref="AD380:AD382" si="97">SUM(Q380:AC380)</f>
        <v>16059022.689999999</v>
      </c>
      <c r="AE380" s="28"/>
      <c r="AF380" s="28"/>
      <c r="AG380" s="28">
        <f>SUM(Y380+AC380)</f>
        <v>16059022.689999999</v>
      </c>
      <c r="AH380" s="46"/>
      <c r="AI380" s="14">
        <v>2022</v>
      </c>
      <c r="AJ380" s="14">
        <v>2022</v>
      </c>
    </row>
    <row r="381" spans="1:37" s="124" customFormat="1" ht="15" hidden="1" customHeight="1" x14ac:dyDescent="0.45">
      <c r="A381" s="140"/>
      <c r="B381" s="141"/>
      <c r="C381" s="201"/>
      <c r="D381" s="200"/>
      <c r="E381" s="141"/>
      <c r="F381" s="200"/>
      <c r="G381" s="200"/>
      <c r="H381" s="200"/>
      <c r="I381" s="200"/>
      <c r="J381" s="205"/>
      <c r="K381" s="205"/>
      <c r="L381" s="205"/>
      <c r="M381" s="200"/>
      <c r="N381" s="206"/>
      <c r="O381" s="200"/>
      <c r="P381" s="200"/>
      <c r="Q381" s="210"/>
      <c r="R381" s="211"/>
      <c r="S381" s="210"/>
      <c r="T381" s="210"/>
      <c r="U381" s="210"/>
      <c r="V381" s="210"/>
      <c r="W381" s="210"/>
      <c r="X381" s="210"/>
      <c r="Y381" s="210">
        <v>15206067.59</v>
      </c>
      <c r="Z381" s="210"/>
      <c r="AA381" s="210"/>
      <c r="AB381" s="210"/>
      <c r="AC381" s="210">
        <v>852955.1</v>
      </c>
      <c r="AD381" s="155">
        <f t="shared" si="97"/>
        <v>16059022.689999999</v>
      </c>
      <c r="AE381" s="155"/>
      <c r="AF381" s="155"/>
      <c r="AG381" s="155">
        <f>SUM(Y381+AC381)</f>
        <v>16059022.689999999</v>
      </c>
      <c r="AH381" s="211"/>
      <c r="AI381" s="200"/>
      <c r="AJ381" s="200"/>
    </row>
    <row r="382" spans="1:37" ht="84.9" hidden="1" customHeight="1" x14ac:dyDescent="0.45">
      <c r="A382" s="163">
        <v>1</v>
      </c>
      <c r="B382" s="19">
        <v>289</v>
      </c>
      <c r="C382" s="202" t="s">
        <v>522</v>
      </c>
      <c r="D382" s="14"/>
      <c r="E382" s="19"/>
      <c r="F382" s="19" t="s">
        <v>376</v>
      </c>
      <c r="G382" s="14">
        <v>1956</v>
      </c>
      <c r="H382" s="14">
        <v>2</v>
      </c>
      <c r="I382" s="14">
        <v>1</v>
      </c>
      <c r="J382" s="42">
        <v>735.7</v>
      </c>
      <c r="K382" s="42">
        <v>523.29999999999995</v>
      </c>
      <c r="L382" s="42">
        <v>323.5</v>
      </c>
      <c r="M382" s="14">
        <v>20</v>
      </c>
      <c r="N382" s="44" t="s">
        <v>365</v>
      </c>
      <c r="O382" s="14" t="s">
        <v>366</v>
      </c>
      <c r="P382" s="14"/>
      <c r="Q382" s="45"/>
      <c r="R382" s="46"/>
      <c r="S382" s="45"/>
      <c r="T382" s="45"/>
      <c r="U382" s="45"/>
      <c r="V382" s="45"/>
      <c r="W382" s="45"/>
      <c r="X382" s="45"/>
      <c r="Y382" s="45"/>
      <c r="Z382" s="45"/>
      <c r="AA382" s="45">
        <v>4369840.8</v>
      </c>
      <c r="AB382" s="45"/>
      <c r="AC382" s="45">
        <v>258315.71</v>
      </c>
      <c r="AD382" s="28">
        <f t="shared" si="97"/>
        <v>4628156.51</v>
      </c>
      <c r="AE382" s="28"/>
      <c r="AF382" s="28"/>
      <c r="AG382" s="28">
        <f>SUM(AA382+AC382)</f>
        <v>4628156.51</v>
      </c>
      <c r="AH382" s="46"/>
      <c r="AI382" s="14">
        <v>2022</v>
      </c>
      <c r="AJ382" s="14">
        <v>2022</v>
      </c>
    </row>
    <row r="383" spans="1:37" s="124" customFormat="1" ht="15" hidden="1" customHeight="1" x14ac:dyDescent="0.45">
      <c r="A383" s="140"/>
      <c r="B383" s="141"/>
      <c r="C383" s="201"/>
      <c r="D383" s="200"/>
      <c r="E383" s="141"/>
      <c r="F383" s="200"/>
      <c r="G383" s="200"/>
      <c r="H383" s="200"/>
      <c r="I383" s="200"/>
      <c r="J383" s="205"/>
      <c r="K383" s="205"/>
      <c r="L383" s="205"/>
      <c r="M383" s="200"/>
      <c r="N383" s="206"/>
      <c r="O383" s="200"/>
      <c r="P383" s="200"/>
      <c r="Q383" s="208"/>
      <c r="R383" s="209"/>
      <c r="S383" s="208"/>
      <c r="T383" s="208"/>
      <c r="U383" s="208"/>
      <c r="V383" s="208"/>
      <c r="W383" s="208"/>
      <c r="X383" s="208"/>
      <c r="Y383" s="208"/>
      <c r="Z383" s="208"/>
      <c r="AA383" s="208">
        <v>4369840.8</v>
      </c>
      <c r="AB383" s="208"/>
      <c r="AC383" s="208">
        <v>258315.71</v>
      </c>
      <c r="AD383" s="171">
        <v>4628156.51</v>
      </c>
      <c r="AE383" s="171"/>
      <c r="AF383" s="171"/>
      <c r="AG383" s="171">
        <v>4628156.51</v>
      </c>
      <c r="AH383" s="209"/>
      <c r="AI383" s="200"/>
      <c r="AJ383" s="200"/>
    </row>
    <row r="384" spans="1:37" ht="58.5" hidden="1" customHeight="1" x14ac:dyDescent="0.45">
      <c r="A384" s="163">
        <v>1</v>
      </c>
      <c r="B384" s="19">
        <v>441</v>
      </c>
      <c r="C384" s="203" t="s">
        <v>306</v>
      </c>
      <c r="D384" s="19" t="s">
        <v>523</v>
      </c>
      <c r="E384" s="146" t="s">
        <v>382</v>
      </c>
      <c r="F384" s="19" t="s">
        <v>383</v>
      </c>
      <c r="G384" s="14" t="s">
        <v>408</v>
      </c>
      <c r="H384" s="14">
        <v>5</v>
      </c>
      <c r="I384" s="14">
        <v>8</v>
      </c>
      <c r="J384" s="42">
        <v>6414.5</v>
      </c>
      <c r="K384" s="42"/>
      <c r="L384" s="42"/>
      <c r="M384" s="14">
        <v>306</v>
      </c>
      <c r="N384" s="44" t="s">
        <v>365</v>
      </c>
      <c r="O384" s="14" t="s">
        <v>366</v>
      </c>
      <c r="P384" s="14"/>
      <c r="Q384" s="45"/>
      <c r="R384" s="194">
        <v>2377151.2400000002</v>
      </c>
      <c r="S384" s="28"/>
      <c r="T384" s="28"/>
      <c r="U384" s="28"/>
      <c r="V384" s="28"/>
      <c r="W384" s="28"/>
      <c r="X384" s="28"/>
      <c r="Y384" s="99">
        <v>15132111.109999999</v>
      </c>
      <c r="Z384" s="99"/>
      <c r="AA384" s="99">
        <v>20640142.640000001</v>
      </c>
      <c r="AB384" s="99"/>
      <c r="AC384" s="99">
        <v>2591051.98</v>
      </c>
      <c r="AD384" s="157">
        <f>R384+Y384+AA384+AC384</f>
        <v>40740456.969999999</v>
      </c>
      <c r="AE384" s="157">
        <f t="shared" ref="AE384:AE388" si="98">AD384</f>
        <v>40740456.969999999</v>
      </c>
      <c r="AF384" s="157"/>
      <c r="AG384" s="157"/>
      <c r="AH384" s="159"/>
      <c r="AI384" s="96" t="s">
        <v>524</v>
      </c>
      <c r="AJ384" s="96" t="s">
        <v>525</v>
      </c>
      <c r="AK384" s="130" t="s">
        <v>526</v>
      </c>
    </row>
    <row r="385" spans="1:37" s="124" customFormat="1" ht="15" hidden="1" customHeight="1" x14ac:dyDescent="0.45">
      <c r="A385" s="140"/>
      <c r="B385" s="141"/>
      <c r="C385" s="201"/>
      <c r="D385" s="200"/>
      <c r="E385" s="141"/>
      <c r="F385" s="200"/>
      <c r="G385" s="200"/>
      <c r="H385" s="200"/>
      <c r="I385" s="200"/>
      <c r="J385" s="205"/>
      <c r="K385" s="205"/>
      <c r="L385" s="205"/>
      <c r="M385" s="200"/>
      <c r="N385" s="206"/>
      <c r="O385" s="200"/>
      <c r="P385" s="200"/>
      <c r="Q385" s="208"/>
      <c r="R385" s="209"/>
      <c r="S385" s="208"/>
      <c r="T385" s="208"/>
      <c r="U385" s="208"/>
      <c r="V385" s="208"/>
      <c r="W385" s="208"/>
      <c r="X385" s="208"/>
      <c r="Y385" s="208"/>
      <c r="Z385" s="208"/>
      <c r="AA385" s="208">
        <v>4369840.8</v>
      </c>
      <c r="AB385" s="208"/>
      <c r="AC385" s="208">
        <v>258315.71</v>
      </c>
      <c r="AD385" s="171">
        <v>4628156.51</v>
      </c>
      <c r="AE385" s="171"/>
      <c r="AF385" s="171"/>
      <c r="AG385" s="171">
        <v>4628156.51</v>
      </c>
      <c r="AH385" s="209"/>
      <c r="AI385" s="200"/>
      <c r="AJ385" s="200"/>
    </row>
    <row r="386" spans="1:37" ht="84.9" hidden="1" customHeight="1" x14ac:dyDescent="0.45">
      <c r="A386" s="163">
        <v>1</v>
      </c>
      <c r="B386" s="19">
        <v>442</v>
      </c>
      <c r="C386" s="203" t="s">
        <v>307</v>
      </c>
      <c r="D386" s="19" t="s">
        <v>523</v>
      </c>
      <c r="E386" s="146" t="s">
        <v>382</v>
      </c>
      <c r="F386" s="14" t="s">
        <v>383</v>
      </c>
      <c r="G386" s="14" t="s">
        <v>408</v>
      </c>
      <c r="H386" s="14">
        <v>5</v>
      </c>
      <c r="I386" s="14">
        <v>8</v>
      </c>
      <c r="J386" s="42">
        <v>5783</v>
      </c>
      <c r="K386" s="42"/>
      <c r="L386" s="42"/>
      <c r="M386" s="14">
        <v>273</v>
      </c>
      <c r="N386" s="44" t="s">
        <v>365</v>
      </c>
      <c r="O386" s="14" t="s">
        <v>366</v>
      </c>
      <c r="P386" s="14"/>
      <c r="Q386" s="45"/>
      <c r="R386" s="194">
        <v>2377151.2400000002</v>
      </c>
      <c r="S386" s="28"/>
      <c r="T386" s="28"/>
      <c r="U386" s="28"/>
      <c r="V386" s="28"/>
      <c r="W386" s="28"/>
      <c r="X386" s="28"/>
      <c r="Y386" s="28">
        <v>12804094.01</v>
      </c>
      <c r="Z386" s="28"/>
      <c r="AA386" s="28">
        <v>18617829.530000001</v>
      </c>
      <c r="AB386" s="28"/>
      <c r="AC386" s="28">
        <v>2291029.21</v>
      </c>
      <c r="AD386" s="28">
        <f>SUM(R386+Y386+AA386+AC386)</f>
        <v>36090103.990000002</v>
      </c>
      <c r="AE386" s="157">
        <f t="shared" si="98"/>
        <v>36090103.990000002</v>
      </c>
      <c r="AF386" s="157"/>
      <c r="AG386" s="157"/>
      <c r="AH386" s="159"/>
      <c r="AI386" s="96" t="s">
        <v>524</v>
      </c>
      <c r="AJ386" s="96" t="s">
        <v>525</v>
      </c>
      <c r="AK386" s="130" t="s">
        <v>526</v>
      </c>
    </row>
    <row r="387" spans="1:37" s="124" customFormat="1" ht="15" hidden="1" customHeight="1" x14ac:dyDescent="0.45">
      <c r="A387" s="140"/>
      <c r="B387" s="141"/>
      <c r="C387" s="201"/>
      <c r="D387" s="200"/>
      <c r="E387" s="141"/>
      <c r="F387" s="200"/>
      <c r="G387" s="200"/>
      <c r="H387" s="200"/>
      <c r="I387" s="200"/>
      <c r="J387" s="205"/>
      <c r="K387" s="205"/>
      <c r="L387" s="205"/>
      <c r="M387" s="200"/>
      <c r="N387" s="206"/>
      <c r="O387" s="200"/>
      <c r="P387" s="200"/>
      <c r="Q387" s="208"/>
      <c r="R387" s="209"/>
      <c r="S387" s="208"/>
      <c r="T387" s="208"/>
      <c r="U387" s="208"/>
      <c r="V387" s="208"/>
      <c r="W387" s="208"/>
      <c r="X387" s="208"/>
      <c r="Y387" s="208"/>
      <c r="Z387" s="208"/>
      <c r="AA387" s="208">
        <v>4369840.8</v>
      </c>
      <c r="AB387" s="208"/>
      <c r="AC387" s="208">
        <v>258315.71</v>
      </c>
      <c r="AD387" s="171">
        <v>4628156.51</v>
      </c>
      <c r="AE387" s="171"/>
      <c r="AF387" s="171"/>
      <c r="AG387" s="171">
        <v>4628156.51</v>
      </c>
      <c r="AH387" s="209"/>
      <c r="AI387" s="200"/>
      <c r="AJ387" s="200"/>
    </row>
    <row r="388" spans="1:37" ht="64.8" hidden="1" customHeight="1" x14ac:dyDescent="0.45">
      <c r="A388" s="163"/>
      <c r="B388" s="19">
        <v>443</v>
      </c>
      <c r="C388" s="138" t="s">
        <v>308</v>
      </c>
      <c r="D388" s="219" t="s">
        <v>527</v>
      </c>
      <c r="E388" s="19"/>
      <c r="F388" s="19"/>
      <c r="G388" s="19">
        <v>1967</v>
      </c>
      <c r="H388" s="19">
        <v>5</v>
      </c>
      <c r="I388" s="19">
        <v>6</v>
      </c>
      <c r="J388" s="23">
        <v>4906</v>
      </c>
      <c r="K388" s="23">
        <v>4906</v>
      </c>
      <c r="L388" s="23">
        <v>4580.1000000000004</v>
      </c>
      <c r="M388" s="19">
        <v>224</v>
      </c>
      <c r="N388" s="19" t="s">
        <v>365</v>
      </c>
      <c r="O388" s="19" t="s">
        <v>366</v>
      </c>
      <c r="P388" s="14"/>
      <c r="Q388" s="45"/>
      <c r="R388" s="46"/>
      <c r="S388" s="45"/>
      <c r="T388" s="45"/>
      <c r="U388" s="45"/>
      <c r="V388" s="45"/>
      <c r="W388" s="45"/>
      <c r="X388" s="45"/>
      <c r="Y388" s="28">
        <v>11503615.5</v>
      </c>
      <c r="Z388" s="28"/>
      <c r="AA388" s="28">
        <v>15785947.65</v>
      </c>
      <c r="AB388" s="28"/>
      <c r="AC388" s="28">
        <v>1882038.83</v>
      </c>
      <c r="AD388" s="28">
        <f>SUM(Y388+AA388+AC388)</f>
        <v>29171601.979999997</v>
      </c>
      <c r="AE388" s="28">
        <f t="shared" si="98"/>
        <v>29171601.979999997</v>
      </c>
      <c r="AF388" s="28"/>
      <c r="AG388" s="28"/>
      <c r="AH388" s="46"/>
      <c r="AI388" s="96">
        <v>2022</v>
      </c>
      <c r="AJ388" s="96">
        <v>2023</v>
      </c>
      <c r="AK388" s="130" t="s">
        <v>528</v>
      </c>
    </row>
    <row r="389" spans="1:37" s="124" customFormat="1" ht="15" hidden="1" customHeight="1" x14ac:dyDescent="0.45">
      <c r="A389" s="140"/>
      <c r="B389" s="141"/>
      <c r="C389" s="201"/>
      <c r="D389" s="200"/>
      <c r="E389" s="141"/>
      <c r="F389" s="200"/>
      <c r="G389" s="200"/>
      <c r="H389" s="200"/>
      <c r="I389" s="200"/>
      <c r="J389" s="205"/>
      <c r="K389" s="205"/>
      <c r="L389" s="205"/>
      <c r="M389" s="200"/>
      <c r="N389" s="206"/>
      <c r="O389" s="200"/>
      <c r="P389" s="200"/>
      <c r="Q389" s="208"/>
      <c r="R389" s="209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171"/>
      <c r="AE389" s="171"/>
      <c r="AF389" s="171"/>
      <c r="AG389" s="171"/>
      <c r="AH389" s="209"/>
      <c r="AI389" s="200"/>
      <c r="AJ389" s="200"/>
    </row>
    <row r="390" spans="1:37" ht="84.9" hidden="1" customHeight="1" x14ac:dyDescent="0.45">
      <c r="A390" s="163">
        <v>1</v>
      </c>
      <c r="B390" s="19">
        <v>1</v>
      </c>
      <c r="C390" s="203" t="s">
        <v>309</v>
      </c>
      <c r="D390" s="19" t="s">
        <v>381</v>
      </c>
      <c r="E390" s="146" t="s">
        <v>382</v>
      </c>
      <c r="F390" s="14" t="s">
        <v>383</v>
      </c>
      <c r="G390" s="14" t="s">
        <v>408</v>
      </c>
      <c r="H390" s="14">
        <v>5</v>
      </c>
      <c r="I390" s="14">
        <v>4</v>
      </c>
      <c r="J390" s="42">
        <v>2862.6</v>
      </c>
      <c r="K390" s="42"/>
      <c r="L390" s="42"/>
      <c r="M390" s="14">
        <v>137</v>
      </c>
      <c r="N390" s="44" t="s">
        <v>365</v>
      </c>
      <c r="O390" s="14" t="s">
        <v>366</v>
      </c>
      <c r="P390" s="14"/>
      <c r="Q390" s="45"/>
      <c r="R390" s="194">
        <v>2377151.2400000002</v>
      </c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197">
        <v>124000</v>
      </c>
      <c r="AD390" s="157">
        <f>R390+AC390</f>
        <v>2501151.2400000002</v>
      </c>
      <c r="AE390" s="157">
        <f t="shared" ref="AE390:AE394" si="99">AD390</f>
        <v>2501151.2400000002</v>
      </c>
      <c r="AF390" s="157"/>
      <c r="AG390" s="157"/>
      <c r="AH390" s="159"/>
      <c r="AI390" s="19">
        <v>2022</v>
      </c>
      <c r="AJ390" s="19">
        <v>2022</v>
      </c>
      <c r="AK390" s="130" t="s">
        <v>387</v>
      </c>
    </row>
    <row r="391" spans="1:37" s="124" customFormat="1" ht="15" hidden="1" customHeight="1" x14ac:dyDescent="0.45">
      <c r="A391" s="140"/>
      <c r="B391" s="141"/>
      <c r="C391" s="201"/>
      <c r="D391" s="200"/>
      <c r="E391" s="141"/>
      <c r="F391" s="200"/>
      <c r="G391" s="200"/>
      <c r="H391" s="200"/>
      <c r="I391" s="200"/>
      <c r="J391" s="205"/>
      <c r="K391" s="205"/>
      <c r="L391" s="205"/>
      <c r="M391" s="200"/>
      <c r="N391" s="206"/>
      <c r="O391" s="200"/>
      <c r="P391" s="200"/>
      <c r="Q391" s="208"/>
      <c r="R391" s="209"/>
      <c r="S391" s="208"/>
      <c r="T391" s="208"/>
      <c r="U391" s="208"/>
      <c r="V391" s="208"/>
      <c r="W391" s="208"/>
      <c r="X391" s="208"/>
      <c r="Y391" s="208"/>
      <c r="Z391" s="208"/>
      <c r="AA391" s="208">
        <v>4369840.8</v>
      </c>
      <c r="AB391" s="208"/>
      <c r="AC391" s="208">
        <v>258315.71</v>
      </c>
      <c r="AD391" s="171">
        <v>4628156.51</v>
      </c>
      <c r="AE391" s="171"/>
      <c r="AF391" s="171"/>
      <c r="AG391" s="171">
        <v>4628156.51</v>
      </c>
      <c r="AH391" s="209"/>
      <c r="AI391" s="200"/>
      <c r="AJ391" s="200"/>
    </row>
    <row r="392" spans="1:37" ht="84.9" hidden="1" customHeight="1" x14ac:dyDescent="0.45">
      <c r="A392" s="163">
        <v>1</v>
      </c>
      <c r="B392" s="19">
        <v>1</v>
      </c>
      <c r="C392" s="203" t="s">
        <v>310</v>
      </c>
      <c r="D392" s="19" t="s">
        <v>381</v>
      </c>
      <c r="E392" s="146" t="s">
        <v>382</v>
      </c>
      <c r="F392" s="14" t="s">
        <v>383</v>
      </c>
      <c r="G392" s="14" t="s">
        <v>408</v>
      </c>
      <c r="H392" s="14">
        <v>5</v>
      </c>
      <c r="I392" s="14">
        <v>4</v>
      </c>
      <c r="J392" s="42">
        <v>2983.4</v>
      </c>
      <c r="K392" s="42"/>
      <c r="L392" s="42"/>
      <c r="M392" s="14">
        <v>137</v>
      </c>
      <c r="N392" s="44" t="s">
        <v>365</v>
      </c>
      <c r="O392" s="14" t="s">
        <v>366</v>
      </c>
      <c r="P392" s="14"/>
      <c r="Q392" s="45"/>
      <c r="R392" s="194">
        <v>2377151.2400000002</v>
      </c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197">
        <v>124000</v>
      </c>
      <c r="AD392" s="157">
        <f>R392+AC392</f>
        <v>2501151.2400000002</v>
      </c>
      <c r="AE392" s="157">
        <f t="shared" si="99"/>
        <v>2501151.2400000002</v>
      </c>
      <c r="AF392" s="157"/>
      <c r="AG392" s="157"/>
      <c r="AH392" s="159"/>
      <c r="AI392" s="19">
        <v>2022</v>
      </c>
      <c r="AJ392" s="19">
        <v>2022</v>
      </c>
      <c r="AK392" s="130" t="s">
        <v>387</v>
      </c>
    </row>
    <row r="393" spans="1:37" s="124" customFormat="1" ht="15" hidden="1" customHeight="1" x14ac:dyDescent="0.45">
      <c r="A393" s="163"/>
      <c r="B393" s="141"/>
      <c r="C393" s="201"/>
      <c r="D393" s="200"/>
      <c r="E393" s="141"/>
      <c r="F393" s="200"/>
      <c r="G393" s="200"/>
      <c r="H393" s="200"/>
      <c r="I393" s="200"/>
      <c r="J393" s="205"/>
      <c r="K393" s="205"/>
      <c r="L393" s="205"/>
      <c r="M393" s="200"/>
      <c r="N393" s="206"/>
      <c r="O393" s="200"/>
      <c r="P393" s="200"/>
      <c r="Q393" s="208"/>
      <c r="R393" s="209"/>
      <c r="S393" s="208"/>
      <c r="T393" s="208"/>
      <c r="U393" s="208"/>
      <c r="V393" s="208"/>
      <c r="W393" s="208"/>
      <c r="X393" s="208"/>
      <c r="Y393" s="208"/>
      <c r="Z393" s="208"/>
      <c r="AA393" s="208">
        <v>4369840.8</v>
      </c>
      <c r="AB393" s="208"/>
      <c r="AC393" s="208">
        <v>258315.71</v>
      </c>
      <c r="AD393" s="171">
        <v>4628156.51</v>
      </c>
      <c r="AE393" s="171"/>
      <c r="AF393" s="171"/>
      <c r="AG393" s="171">
        <v>4628156.51</v>
      </c>
      <c r="AH393" s="209"/>
      <c r="AI393" s="200"/>
      <c r="AJ393" s="200"/>
    </row>
    <row r="394" spans="1:37" ht="84.9" hidden="1" customHeight="1" x14ac:dyDescent="0.45">
      <c r="A394" s="163">
        <v>1</v>
      </c>
      <c r="B394" s="19">
        <v>1</v>
      </c>
      <c r="C394" s="203" t="s">
        <v>311</v>
      </c>
      <c r="D394" s="19" t="s">
        <v>529</v>
      </c>
      <c r="E394" s="146" t="s">
        <v>382</v>
      </c>
      <c r="F394" s="14" t="s">
        <v>383</v>
      </c>
      <c r="G394" s="14">
        <v>1968</v>
      </c>
      <c r="H394" s="14">
        <v>5</v>
      </c>
      <c r="I394" s="14">
        <v>8</v>
      </c>
      <c r="J394" s="42">
        <v>6149.5</v>
      </c>
      <c r="K394" s="42"/>
      <c r="L394" s="42"/>
      <c r="M394" s="14">
        <v>333</v>
      </c>
      <c r="N394" s="44" t="s">
        <v>365</v>
      </c>
      <c r="O394" s="14" t="s">
        <v>366</v>
      </c>
      <c r="P394" s="14"/>
      <c r="Q394" s="45"/>
      <c r="R394" s="194">
        <v>2377151.2400000002</v>
      </c>
      <c r="S394" s="28"/>
      <c r="T394" s="28"/>
      <c r="U394" s="28"/>
      <c r="V394" s="28"/>
      <c r="W394" s="28"/>
      <c r="X394" s="28"/>
      <c r="Y394" s="28">
        <v>15132111.109999999</v>
      </c>
      <c r="Z394" s="28"/>
      <c r="AA394" s="28">
        <v>19776195.030000001</v>
      </c>
      <c r="AB394" s="28"/>
      <c r="AC394" s="28">
        <v>2531469.39</v>
      </c>
      <c r="AD394" s="28">
        <f>SUM(R394+Y394+AA394+AC394)</f>
        <v>39816926.770000003</v>
      </c>
      <c r="AE394" s="157">
        <f t="shared" si="99"/>
        <v>39816926.770000003</v>
      </c>
      <c r="AF394" s="157"/>
      <c r="AG394" s="157"/>
      <c r="AH394" s="159"/>
      <c r="AI394" s="19" t="s">
        <v>524</v>
      </c>
      <c r="AJ394" s="19" t="s">
        <v>525</v>
      </c>
      <c r="AK394" s="130" t="s">
        <v>526</v>
      </c>
    </row>
    <row r="395" spans="1:37" s="124" customFormat="1" ht="15" hidden="1" customHeight="1" x14ac:dyDescent="0.45">
      <c r="A395" s="163"/>
      <c r="B395" s="141"/>
      <c r="C395" s="201"/>
      <c r="D395" s="200"/>
      <c r="E395" s="141"/>
      <c r="F395" s="200"/>
      <c r="G395" s="200"/>
      <c r="H395" s="200"/>
      <c r="I395" s="200"/>
      <c r="J395" s="205"/>
      <c r="K395" s="205"/>
      <c r="L395" s="205"/>
      <c r="M395" s="200"/>
      <c r="N395" s="206"/>
      <c r="O395" s="200"/>
      <c r="P395" s="200"/>
      <c r="Q395" s="208"/>
      <c r="R395" s="209"/>
      <c r="S395" s="208"/>
      <c r="T395" s="208"/>
      <c r="U395" s="208"/>
      <c r="V395" s="208"/>
      <c r="W395" s="208"/>
      <c r="X395" s="208"/>
      <c r="Y395" s="208"/>
      <c r="Z395" s="208"/>
      <c r="AA395" s="208">
        <v>4369840.8</v>
      </c>
      <c r="AB395" s="208"/>
      <c r="AC395" s="208">
        <v>258315.71</v>
      </c>
      <c r="AD395" s="171">
        <v>4628156.51</v>
      </c>
      <c r="AE395" s="171"/>
      <c r="AF395" s="171"/>
      <c r="AG395" s="171">
        <v>4628156.51</v>
      </c>
      <c r="AH395" s="209"/>
      <c r="AI395" s="200"/>
      <c r="AJ395" s="200"/>
    </row>
    <row r="396" spans="1:37" ht="84.9" hidden="1" customHeight="1" x14ac:dyDescent="0.45">
      <c r="A396" s="163">
        <v>1</v>
      </c>
      <c r="B396" s="19">
        <v>1</v>
      </c>
      <c r="C396" s="203" t="s">
        <v>312</v>
      </c>
      <c r="D396" s="19" t="s">
        <v>381</v>
      </c>
      <c r="E396" s="146" t="s">
        <v>382</v>
      </c>
      <c r="F396" s="14" t="s">
        <v>383</v>
      </c>
      <c r="G396" s="14">
        <v>1968</v>
      </c>
      <c r="H396" s="14">
        <v>5</v>
      </c>
      <c r="I396" s="14">
        <v>4</v>
      </c>
      <c r="J396" s="42">
        <v>3032.2</v>
      </c>
      <c r="K396" s="42"/>
      <c r="L396" s="42"/>
      <c r="M396" s="14">
        <v>122</v>
      </c>
      <c r="N396" s="44" t="s">
        <v>365</v>
      </c>
      <c r="O396" s="14" t="s">
        <v>366</v>
      </c>
      <c r="P396" s="14"/>
      <c r="Q396" s="45"/>
      <c r="R396" s="194">
        <v>2377151.2400000002</v>
      </c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197">
        <v>124000</v>
      </c>
      <c r="AD396" s="157">
        <f t="shared" ref="AD396:AD400" si="100">R396+AC396</f>
        <v>2501151.2400000002</v>
      </c>
      <c r="AE396" s="157">
        <f t="shared" ref="AE396:AE400" si="101">AD396</f>
        <v>2501151.2400000002</v>
      </c>
      <c r="AF396" s="157"/>
      <c r="AG396" s="157"/>
      <c r="AH396" s="159"/>
      <c r="AI396" s="19">
        <v>2022</v>
      </c>
      <c r="AJ396" s="19">
        <v>2022</v>
      </c>
      <c r="AK396" s="130" t="s">
        <v>387</v>
      </c>
    </row>
    <row r="397" spans="1:37" s="124" customFormat="1" ht="15" hidden="1" customHeight="1" x14ac:dyDescent="0.45">
      <c r="A397" s="163"/>
      <c r="B397" s="141"/>
      <c r="C397" s="201"/>
      <c r="D397" s="200"/>
      <c r="E397" s="141"/>
      <c r="F397" s="200"/>
      <c r="G397" s="200"/>
      <c r="H397" s="200"/>
      <c r="I397" s="200"/>
      <c r="J397" s="205"/>
      <c r="K397" s="205"/>
      <c r="L397" s="205"/>
      <c r="M397" s="200"/>
      <c r="N397" s="206"/>
      <c r="O397" s="200"/>
      <c r="P397" s="200"/>
      <c r="Q397" s="208"/>
      <c r="R397" s="209"/>
      <c r="S397" s="208"/>
      <c r="T397" s="208"/>
      <c r="U397" s="208"/>
      <c r="V397" s="208"/>
      <c r="W397" s="208"/>
      <c r="X397" s="208"/>
      <c r="Y397" s="208"/>
      <c r="Z397" s="208"/>
      <c r="AA397" s="208">
        <v>4369840.8</v>
      </c>
      <c r="AB397" s="208"/>
      <c r="AC397" s="208">
        <v>258315.71</v>
      </c>
      <c r="AD397" s="171">
        <v>4628156.51</v>
      </c>
      <c r="AE397" s="171"/>
      <c r="AF397" s="171"/>
      <c r="AG397" s="171">
        <v>4628156.51</v>
      </c>
      <c r="AH397" s="209"/>
      <c r="AI397" s="200"/>
      <c r="AJ397" s="200"/>
    </row>
    <row r="398" spans="1:37" ht="84.9" hidden="1" customHeight="1" x14ac:dyDescent="0.45">
      <c r="A398" s="163">
        <v>1</v>
      </c>
      <c r="B398" s="19">
        <v>1</v>
      </c>
      <c r="C398" s="203" t="s">
        <v>313</v>
      </c>
      <c r="D398" s="19" t="s">
        <v>381</v>
      </c>
      <c r="E398" s="146" t="s">
        <v>382</v>
      </c>
      <c r="F398" s="14" t="s">
        <v>383</v>
      </c>
      <c r="G398" s="14">
        <v>1968</v>
      </c>
      <c r="H398" s="14">
        <v>5</v>
      </c>
      <c r="I398" s="14">
        <v>4</v>
      </c>
      <c r="J398" s="42">
        <v>2797.6</v>
      </c>
      <c r="K398" s="42"/>
      <c r="L398" s="42"/>
      <c r="M398" s="14">
        <v>137</v>
      </c>
      <c r="N398" s="44" t="s">
        <v>365</v>
      </c>
      <c r="O398" s="14" t="s">
        <v>366</v>
      </c>
      <c r="P398" s="14"/>
      <c r="Q398" s="45"/>
      <c r="R398" s="194">
        <v>2377151.2400000002</v>
      </c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197">
        <v>124000</v>
      </c>
      <c r="AD398" s="157">
        <f t="shared" si="100"/>
        <v>2501151.2400000002</v>
      </c>
      <c r="AE398" s="157">
        <f t="shared" si="101"/>
        <v>2501151.2400000002</v>
      </c>
      <c r="AF398" s="157"/>
      <c r="AG398" s="157"/>
      <c r="AH398" s="159"/>
      <c r="AI398" s="19">
        <v>2022</v>
      </c>
      <c r="AJ398" s="19">
        <v>2022</v>
      </c>
      <c r="AK398" s="130" t="s">
        <v>387</v>
      </c>
    </row>
    <row r="399" spans="1:37" s="124" customFormat="1" ht="15" hidden="1" customHeight="1" x14ac:dyDescent="0.45">
      <c r="A399" s="163"/>
      <c r="B399" s="141"/>
      <c r="C399" s="201"/>
      <c r="D399" s="200"/>
      <c r="E399" s="141"/>
      <c r="F399" s="200"/>
      <c r="G399" s="200"/>
      <c r="H399" s="200"/>
      <c r="I399" s="200"/>
      <c r="J399" s="205"/>
      <c r="K399" s="205"/>
      <c r="L399" s="205"/>
      <c r="M399" s="200"/>
      <c r="N399" s="206"/>
      <c r="O399" s="200"/>
      <c r="P399" s="200"/>
      <c r="Q399" s="208"/>
      <c r="R399" s="209"/>
      <c r="S399" s="208"/>
      <c r="T399" s="208"/>
      <c r="U399" s="208"/>
      <c r="V399" s="208"/>
      <c r="W399" s="208"/>
      <c r="X399" s="208"/>
      <c r="Y399" s="208"/>
      <c r="Z399" s="208"/>
      <c r="AA399" s="208">
        <v>4369840.8</v>
      </c>
      <c r="AB399" s="208"/>
      <c r="AC399" s="208">
        <v>258315.71</v>
      </c>
      <c r="AD399" s="171">
        <v>4628156.51</v>
      </c>
      <c r="AE399" s="171"/>
      <c r="AF399" s="171"/>
      <c r="AG399" s="171">
        <v>4628156.51</v>
      </c>
      <c r="AH399" s="209"/>
      <c r="AI399" s="200"/>
      <c r="AJ399" s="200"/>
    </row>
    <row r="400" spans="1:37" ht="84.9" hidden="1" customHeight="1" x14ac:dyDescent="0.45">
      <c r="A400" s="163">
        <v>1</v>
      </c>
      <c r="B400" s="19">
        <v>1</v>
      </c>
      <c r="C400" s="203" t="s">
        <v>314</v>
      </c>
      <c r="D400" s="19" t="s">
        <v>381</v>
      </c>
      <c r="E400" s="146" t="s">
        <v>382</v>
      </c>
      <c r="F400" s="14" t="s">
        <v>383</v>
      </c>
      <c r="G400" s="14">
        <v>1968</v>
      </c>
      <c r="H400" s="14">
        <v>5</v>
      </c>
      <c r="I400" s="14">
        <v>4</v>
      </c>
      <c r="J400" s="42">
        <v>3037.8</v>
      </c>
      <c r="K400" s="42"/>
      <c r="L400" s="42"/>
      <c r="M400" s="14" t="s">
        <v>530</v>
      </c>
      <c r="N400" s="44" t="s">
        <v>365</v>
      </c>
      <c r="O400" s="14" t="s">
        <v>366</v>
      </c>
      <c r="P400" s="14"/>
      <c r="Q400" s="45"/>
      <c r="R400" s="194">
        <v>2377151.2400000002</v>
      </c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197">
        <v>124000</v>
      </c>
      <c r="AD400" s="157">
        <f t="shared" si="100"/>
        <v>2501151.2400000002</v>
      </c>
      <c r="AE400" s="157">
        <f t="shared" si="101"/>
        <v>2501151.2400000002</v>
      </c>
      <c r="AF400" s="157"/>
      <c r="AG400" s="157"/>
      <c r="AH400" s="159"/>
      <c r="AI400" s="19">
        <v>2022</v>
      </c>
      <c r="AJ400" s="19">
        <v>2022</v>
      </c>
      <c r="AK400" s="130" t="s">
        <v>387</v>
      </c>
    </row>
    <row r="401" spans="1:37" s="124" customFormat="1" ht="15" hidden="1" customHeight="1" x14ac:dyDescent="0.45">
      <c r="A401" s="140"/>
      <c r="B401" s="141"/>
      <c r="C401" s="201"/>
      <c r="D401" s="200"/>
      <c r="E401" s="141"/>
      <c r="F401" s="200"/>
      <c r="G401" s="200"/>
      <c r="H401" s="200"/>
      <c r="I401" s="200"/>
      <c r="J401" s="205"/>
      <c r="K401" s="205"/>
      <c r="L401" s="205"/>
      <c r="M401" s="200"/>
      <c r="N401" s="206"/>
      <c r="O401" s="200"/>
      <c r="P401" s="200"/>
      <c r="Q401" s="208"/>
      <c r="R401" s="209"/>
      <c r="S401" s="208"/>
      <c r="T401" s="208"/>
      <c r="U401" s="208"/>
      <c r="V401" s="208"/>
      <c r="W401" s="208"/>
      <c r="X401" s="208"/>
      <c r="Y401" s="208"/>
      <c r="Z401" s="208"/>
      <c r="AA401" s="208">
        <v>4369840.8</v>
      </c>
      <c r="AB401" s="208"/>
      <c r="AC401" s="208">
        <v>258315.71</v>
      </c>
      <c r="AD401" s="171">
        <v>4628156.51</v>
      </c>
      <c r="AE401" s="171"/>
      <c r="AF401" s="171"/>
      <c r="AG401" s="171">
        <v>4628156.51</v>
      </c>
      <c r="AH401" s="209"/>
      <c r="AI401" s="200"/>
      <c r="AJ401" s="200"/>
    </row>
    <row r="402" spans="1:37" ht="84.9" hidden="1" customHeight="1" x14ac:dyDescent="0.45">
      <c r="A402" s="163">
        <v>1</v>
      </c>
      <c r="B402" s="19">
        <v>1</v>
      </c>
      <c r="C402" s="203" t="s">
        <v>315</v>
      </c>
      <c r="D402" s="19" t="s">
        <v>531</v>
      </c>
      <c r="E402" s="146" t="s">
        <v>382</v>
      </c>
      <c r="F402" s="14" t="s">
        <v>383</v>
      </c>
      <c r="G402" s="14">
        <v>1968</v>
      </c>
      <c r="H402" s="14">
        <v>5</v>
      </c>
      <c r="I402" s="14">
        <v>4</v>
      </c>
      <c r="J402" s="42">
        <v>3961.2</v>
      </c>
      <c r="K402" s="42"/>
      <c r="L402" s="42"/>
      <c r="M402" s="14">
        <v>174</v>
      </c>
      <c r="N402" s="44" t="s">
        <v>365</v>
      </c>
      <c r="O402" s="14" t="s">
        <v>366</v>
      </c>
      <c r="P402" s="14"/>
      <c r="Q402" s="45"/>
      <c r="R402" s="194">
        <v>2377151.2400000002</v>
      </c>
      <c r="S402" s="28"/>
      <c r="T402" s="28"/>
      <c r="U402" s="28"/>
      <c r="V402" s="28"/>
      <c r="W402" s="28"/>
      <c r="X402" s="28"/>
      <c r="Y402" s="28">
        <v>14911858.550000001</v>
      </c>
      <c r="Z402" s="28"/>
      <c r="AA402" s="28">
        <v>13138817.699999999</v>
      </c>
      <c r="AB402" s="28"/>
      <c r="AC402" s="28">
        <v>2058529.4</v>
      </c>
      <c r="AD402" s="28">
        <f>SUM(R402+Y402+AA402+AC402)</f>
        <v>32486356.889999997</v>
      </c>
      <c r="AE402" s="157">
        <f t="shared" ref="AE402:AE406" si="102">AD402</f>
        <v>32486356.889999997</v>
      </c>
      <c r="AF402" s="157"/>
      <c r="AG402" s="157"/>
      <c r="AH402" s="159"/>
      <c r="AI402" s="19" t="s">
        <v>524</v>
      </c>
      <c r="AJ402" s="19" t="s">
        <v>525</v>
      </c>
      <c r="AK402" s="130" t="s">
        <v>532</v>
      </c>
    </row>
    <row r="403" spans="1:37" s="124" customFormat="1" ht="15" hidden="1" customHeight="1" x14ac:dyDescent="0.45">
      <c r="A403" s="140"/>
      <c r="B403" s="141"/>
      <c r="C403" s="201"/>
      <c r="D403" s="200"/>
      <c r="E403" s="141"/>
      <c r="F403" s="200"/>
      <c r="G403" s="200"/>
      <c r="H403" s="200"/>
      <c r="I403" s="200"/>
      <c r="J403" s="205"/>
      <c r="K403" s="205"/>
      <c r="L403" s="205"/>
      <c r="M403" s="200"/>
      <c r="N403" s="206"/>
      <c r="O403" s="200"/>
      <c r="P403" s="200"/>
      <c r="Q403" s="208"/>
      <c r="R403" s="209"/>
      <c r="S403" s="208"/>
      <c r="T403" s="208"/>
      <c r="U403" s="208"/>
      <c r="V403" s="208"/>
      <c r="W403" s="208"/>
      <c r="X403" s="208"/>
      <c r="Y403" s="208"/>
      <c r="Z403" s="208"/>
      <c r="AA403" s="208">
        <v>4369840.8</v>
      </c>
      <c r="AB403" s="208"/>
      <c r="AC403" s="208">
        <v>258315.71</v>
      </c>
      <c r="AD403" s="171">
        <v>4628156.51</v>
      </c>
      <c r="AE403" s="171"/>
      <c r="AF403" s="171"/>
      <c r="AG403" s="171">
        <v>4628156.51</v>
      </c>
      <c r="AH403" s="209"/>
      <c r="AI403" s="200"/>
      <c r="AJ403" s="200"/>
    </row>
    <row r="404" spans="1:37" ht="84.9" hidden="1" customHeight="1" x14ac:dyDescent="0.45">
      <c r="A404" s="163">
        <v>1</v>
      </c>
      <c r="B404" s="19">
        <v>1</v>
      </c>
      <c r="C404" s="203" t="s">
        <v>316</v>
      </c>
      <c r="D404" s="19" t="s">
        <v>381</v>
      </c>
      <c r="E404" s="146" t="s">
        <v>382</v>
      </c>
      <c r="F404" s="14" t="s">
        <v>383</v>
      </c>
      <c r="G404" s="14">
        <v>1967</v>
      </c>
      <c r="H404" s="14">
        <v>5</v>
      </c>
      <c r="I404" s="14">
        <v>4</v>
      </c>
      <c r="J404" s="42" t="s">
        <v>533</v>
      </c>
      <c r="K404" s="42"/>
      <c r="L404" s="42"/>
      <c r="M404" s="14">
        <v>133</v>
      </c>
      <c r="N404" s="44" t="s">
        <v>365</v>
      </c>
      <c r="O404" s="14" t="s">
        <v>366</v>
      </c>
      <c r="P404" s="14"/>
      <c r="Q404" s="45"/>
      <c r="R404" s="194">
        <v>2377151.2400000002</v>
      </c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197">
        <v>124000</v>
      </c>
      <c r="AD404" s="157">
        <f>R404+AC404</f>
        <v>2501151.2400000002</v>
      </c>
      <c r="AE404" s="157">
        <f t="shared" si="102"/>
        <v>2501151.2400000002</v>
      </c>
      <c r="AF404" s="157"/>
      <c r="AG404" s="157"/>
      <c r="AH404" s="159"/>
      <c r="AI404" s="19">
        <v>2022</v>
      </c>
      <c r="AJ404" s="19">
        <v>2022</v>
      </c>
      <c r="AK404" s="130" t="s">
        <v>387</v>
      </c>
    </row>
    <row r="405" spans="1:37" s="124" customFormat="1" ht="15" hidden="1" customHeight="1" x14ac:dyDescent="0.45">
      <c r="A405" s="140"/>
      <c r="B405" s="141"/>
      <c r="C405" s="201"/>
      <c r="D405" s="200"/>
      <c r="E405" s="141"/>
      <c r="F405" s="200"/>
      <c r="G405" s="200"/>
      <c r="H405" s="200"/>
      <c r="I405" s="200"/>
      <c r="J405" s="205"/>
      <c r="K405" s="205"/>
      <c r="L405" s="205"/>
      <c r="M405" s="200"/>
      <c r="N405" s="206"/>
      <c r="O405" s="200"/>
      <c r="P405" s="200"/>
      <c r="Q405" s="208"/>
      <c r="R405" s="209"/>
      <c r="S405" s="208"/>
      <c r="T405" s="208"/>
      <c r="U405" s="208"/>
      <c r="V405" s="208"/>
      <c r="W405" s="208"/>
      <c r="X405" s="208"/>
      <c r="Y405" s="208"/>
      <c r="Z405" s="208"/>
      <c r="AA405" s="208">
        <v>4369840.8</v>
      </c>
      <c r="AB405" s="208"/>
      <c r="AC405" s="208">
        <v>258315.71</v>
      </c>
      <c r="AD405" s="171">
        <v>4628156.51</v>
      </c>
      <c r="AE405" s="171"/>
      <c r="AF405" s="171"/>
      <c r="AG405" s="171">
        <v>4628156.51</v>
      </c>
      <c r="AH405" s="209"/>
      <c r="AI405" s="200"/>
      <c r="AJ405" s="200"/>
    </row>
    <row r="406" spans="1:37" ht="52.8" hidden="1" customHeight="1" x14ac:dyDescent="0.45">
      <c r="A406" s="163"/>
      <c r="B406" s="19">
        <v>452</v>
      </c>
      <c r="C406" s="138" t="s">
        <v>317</v>
      </c>
      <c r="D406" s="220" t="s">
        <v>534</v>
      </c>
      <c r="E406" s="219" t="s">
        <v>396</v>
      </c>
      <c r="F406" s="14"/>
      <c r="G406" s="19">
        <v>1968</v>
      </c>
      <c r="H406" s="19">
        <v>5</v>
      </c>
      <c r="I406" s="19">
        <v>4</v>
      </c>
      <c r="J406" s="23">
        <v>3942.7</v>
      </c>
      <c r="K406" s="23">
        <v>3942.7</v>
      </c>
      <c r="L406" s="23">
        <v>1653.4</v>
      </c>
      <c r="M406" s="19">
        <v>100</v>
      </c>
      <c r="N406" s="19" t="s">
        <v>365</v>
      </c>
      <c r="O406" s="19" t="s">
        <v>366</v>
      </c>
      <c r="P406" s="14"/>
      <c r="Q406" s="45"/>
      <c r="R406" s="46"/>
      <c r="S406" s="45"/>
      <c r="T406" s="45"/>
      <c r="U406" s="45"/>
      <c r="V406" s="45"/>
      <c r="W406" s="45"/>
      <c r="X406" s="45"/>
      <c r="Y406" s="28">
        <v>14916020.07</v>
      </c>
      <c r="Z406" s="28"/>
      <c r="AA406" s="28">
        <v>13142484.41</v>
      </c>
      <c r="AB406" s="28"/>
      <c r="AC406" s="28">
        <v>1935069.28</v>
      </c>
      <c r="AD406" s="28">
        <f>SUM(Y406+AA406+AC406)</f>
        <v>29993573.760000002</v>
      </c>
      <c r="AE406" s="28">
        <f t="shared" si="102"/>
        <v>29993573.760000002</v>
      </c>
      <c r="AF406" s="28"/>
      <c r="AG406" s="28"/>
      <c r="AH406" s="46"/>
      <c r="AI406" s="19">
        <v>2022</v>
      </c>
      <c r="AJ406" s="19">
        <v>2023</v>
      </c>
      <c r="AK406" s="130" t="s">
        <v>535</v>
      </c>
    </row>
    <row r="407" spans="1:37" s="124" customFormat="1" ht="15" hidden="1" customHeight="1" x14ac:dyDescent="0.45">
      <c r="A407" s="140"/>
      <c r="B407" s="141"/>
      <c r="C407" s="201"/>
      <c r="D407" s="200"/>
      <c r="E407" s="141"/>
      <c r="F407" s="200"/>
      <c r="G407" s="200"/>
      <c r="H407" s="200"/>
      <c r="I407" s="200"/>
      <c r="J407" s="205"/>
      <c r="K407" s="205"/>
      <c r="L407" s="205"/>
      <c r="M407" s="200"/>
      <c r="N407" s="206"/>
      <c r="O407" s="200"/>
      <c r="P407" s="200"/>
      <c r="Q407" s="208"/>
      <c r="R407" s="209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  <c r="AC407" s="208"/>
      <c r="AD407" s="171"/>
      <c r="AE407" s="171"/>
      <c r="AF407" s="171"/>
      <c r="AG407" s="171"/>
      <c r="AH407" s="209"/>
      <c r="AI407" s="200"/>
      <c r="AJ407" s="200"/>
    </row>
    <row r="408" spans="1:37" ht="84.9" hidden="1" customHeight="1" x14ac:dyDescent="0.45">
      <c r="A408" s="163">
        <v>1</v>
      </c>
      <c r="B408" s="19">
        <v>1</v>
      </c>
      <c r="C408" s="203" t="s">
        <v>318</v>
      </c>
      <c r="D408" s="19" t="s">
        <v>381</v>
      </c>
      <c r="E408" s="146" t="s">
        <v>382</v>
      </c>
      <c r="F408" s="14" t="s">
        <v>383</v>
      </c>
      <c r="G408" s="14">
        <v>1967</v>
      </c>
      <c r="H408" s="14">
        <v>5</v>
      </c>
      <c r="I408" s="14">
        <v>4</v>
      </c>
      <c r="J408" s="42" t="s">
        <v>536</v>
      </c>
      <c r="K408" s="42"/>
      <c r="L408" s="42"/>
      <c r="M408" s="14">
        <v>113</v>
      </c>
      <c r="N408" s="44" t="s">
        <v>365</v>
      </c>
      <c r="O408" s="14" t="s">
        <v>366</v>
      </c>
      <c r="P408" s="14"/>
      <c r="Q408" s="45"/>
      <c r="R408" s="194">
        <v>2377151.2400000002</v>
      </c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197">
        <v>124000</v>
      </c>
      <c r="AD408" s="157">
        <f t="shared" ref="AD408:AD412" si="103">R408+AC408</f>
        <v>2501151.2400000002</v>
      </c>
      <c r="AE408" s="157">
        <f t="shared" ref="AE408:AE412" si="104">AD408</f>
        <v>2501151.2400000002</v>
      </c>
      <c r="AF408" s="157"/>
      <c r="AG408" s="157"/>
      <c r="AH408" s="159"/>
      <c r="AI408" s="19">
        <v>2022</v>
      </c>
      <c r="AJ408" s="19">
        <v>2022</v>
      </c>
      <c r="AK408" s="130" t="s">
        <v>387</v>
      </c>
    </row>
    <row r="409" spans="1:37" s="124" customFormat="1" ht="15" hidden="1" customHeight="1" x14ac:dyDescent="0.45">
      <c r="A409" s="140"/>
      <c r="B409" s="141"/>
      <c r="C409" s="201"/>
      <c r="D409" s="200"/>
      <c r="E409" s="141"/>
      <c r="F409" s="200"/>
      <c r="G409" s="200"/>
      <c r="H409" s="200"/>
      <c r="I409" s="200"/>
      <c r="J409" s="205"/>
      <c r="K409" s="205"/>
      <c r="L409" s="205"/>
      <c r="M409" s="200"/>
      <c r="N409" s="206"/>
      <c r="O409" s="200"/>
      <c r="P409" s="200"/>
      <c r="Q409" s="208"/>
      <c r="R409" s="209"/>
      <c r="S409" s="208"/>
      <c r="T409" s="208"/>
      <c r="U409" s="208"/>
      <c r="V409" s="208"/>
      <c r="W409" s="208"/>
      <c r="X409" s="208"/>
      <c r="Y409" s="208"/>
      <c r="Z409" s="208"/>
      <c r="AA409" s="208">
        <v>4369840.8</v>
      </c>
      <c r="AB409" s="208"/>
      <c r="AC409" s="208">
        <v>258315.71</v>
      </c>
      <c r="AD409" s="171">
        <v>4628156.51</v>
      </c>
      <c r="AE409" s="171"/>
      <c r="AF409" s="171"/>
      <c r="AG409" s="171">
        <v>4628156.51</v>
      </c>
      <c r="AH409" s="209"/>
      <c r="AI409" s="200"/>
      <c r="AJ409" s="200"/>
    </row>
    <row r="410" spans="1:37" ht="84.9" hidden="1" customHeight="1" x14ac:dyDescent="0.45">
      <c r="A410" s="163">
        <v>1</v>
      </c>
      <c r="B410" s="19">
        <v>1</v>
      </c>
      <c r="C410" s="203" t="s">
        <v>319</v>
      </c>
      <c r="D410" s="19" t="s">
        <v>381</v>
      </c>
      <c r="E410" s="146" t="s">
        <v>382</v>
      </c>
      <c r="F410" s="14" t="s">
        <v>383</v>
      </c>
      <c r="G410" s="14">
        <v>1967</v>
      </c>
      <c r="H410" s="14">
        <v>5</v>
      </c>
      <c r="I410" s="14">
        <v>6</v>
      </c>
      <c r="J410" s="42">
        <v>4451.8</v>
      </c>
      <c r="K410" s="42"/>
      <c r="L410" s="42"/>
      <c r="M410" s="14">
        <v>221</v>
      </c>
      <c r="N410" s="44" t="s">
        <v>365</v>
      </c>
      <c r="O410" s="14" t="s">
        <v>366</v>
      </c>
      <c r="P410" s="14"/>
      <c r="Q410" s="45"/>
      <c r="R410" s="194">
        <v>2377151.2400000002</v>
      </c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197">
        <v>124000</v>
      </c>
      <c r="AD410" s="157">
        <f t="shared" si="103"/>
        <v>2501151.2400000002</v>
      </c>
      <c r="AE410" s="157">
        <f t="shared" si="104"/>
        <v>2501151.2400000002</v>
      </c>
      <c r="AF410" s="157"/>
      <c r="AG410" s="157"/>
      <c r="AH410" s="159"/>
      <c r="AI410" s="19">
        <v>2022</v>
      </c>
      <c r="AJ410" s="19">
        <v>2022</v>
      </c>
      <c r="AK410" s="130" t="s">
        <v>387</v>
      </c>
    </row>
    <row r="411" spans="1:37" s="124" customFormat="1" ht="15" hidden="1" customHeight="1" x14ac:dyDescent="0.45">
      <c r="A411" s="140"/>
      <c r="B411" s="141"/>
      <c r="C411" s="201"/>
      <c r="D411" s="200"/>
      <c r="E411" s="141"/>
      <c r="F411" s="200"/>
      <c r="G411" s="200"/>
      <c r="H411" s="200"/>
      <c r="I411" s="200"/>
      <c r="J411" s="205"/>
      <c r="K411" s="205"/>
      <c r="L411" s="205"/>
      <c r="M411" s="200"/>
      <c r="N411" s="206"/>
      <c r="O411" s="200"/>
      <c r="P411" s="200"/>
      <c r="Q411" s="208"/>
      <c r="R411" s="209"/>
      <c r="S411" s="208"/>
      <c r="T411" s="208"/>
      <c r="U411" s="208"/>
      <c r="V411" s="208"/>
      <c r="W411" s="208"/>
      <c r="X411" s="208"/>
      <c r="Y411" s="208"/>
      <c r="Z411" s="208"/>
      <c r="AA411" s="208">
        <v>4369840.8</v>
      </c>
      <c r="AB411" s="208"/>
      <c r="AC411" s="208">
        <v>258315.71</v>
      </c>
      <c r="AD411" s="171">
        <v>4628156.51</v>
      </c>
      <c r="AE411" s="171"/>
      <c r="AF411" s="171"/>
      <c r="AG411" s="171">
        <v>4628156.51</v>
      </c>
      <c r="AH411" s="209"/>
      <c r="AI411" s="200"/>
      <c r="AJ411" s="200"/>
    </row>
    <row r="412" spans="1:37" ht="72" hidden="1" customHeight="1" x14ac:dyDescent="0.45">
      <c r="A412" s="163">
        <v>1</v>
      </c>
      <c r="B412" s="19">
        <v>1</v>
      </c>
      <c r="C412" s="203" t="s">
        <v>320</v>
      </c>
      <c r="D412" s="19" t="s">
        <v>381</v>
      </c>
      <c r="E412" s="146" t="s">
        <v>382</v>
      </c>
      <c r="F412" s="14" t="s">
        <v>383</v>
      </c>
      <c r="G412" s="14">
        <v>1968</v>
      </c>
      <c r="H412" s="14">
        <v>5</v>
      </c>
      <c r="I412" s="14">
        <v>6</v>
      </c>
      <c r="J412" s="42" t="s">
        <v>537</v>
      </c>
      <c r="K412" s="42"/>
      <c r="L412" s="42"/>
      <c r="M412" s="14">
        <v>131</v>
      </c>
      <c r="N412" s="44" t="s">
        <v>365</v>
      </c>
      <c r="O412" s="14" t="s">
        <v>366</v>
      </c>
      <c r="P412" s="14"/>
      <c r="Q412" s="45"/>
      <c r="R412" s="194">
        <v>2377151.2400000002</v>
      </c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197">
        <v>124000</v>
      </c>
      <c r="AD412" s="157">
        <f t="shared" si="103"/>
        <v>2501151.2400000002</v>
      </c>
      <c r="AE412" s="157">
        <f t="shared" si="104"/>
        <v>2501151.2400000002</v>
      </c>
      <c r="AF412" s="157"/>
      <c r="AG412" s="157"/>
      <c r="AH412" s="159"/>
      <c r="AI412" s="19">
        <v>2022</v>
      </c>
      <c r="AJ412" s="19">
        <v>2022</v>
      </c>
      <c r="AK412" s="130" t="s">
        <v>387</v>
      </c>
    </row>
    <row r="413" spans="1:37" s="124" customFormat="1" ht="15" hidden="1" customHeight="1" x14ac:dyDescent="0.45">
      <c r="A413" s="140"/>
      <c r="B413" s="141"/>
      <c r="C413" s="201"/>
      <c r="D413" s="200"/>
      <c r="E413" s="141"/>
      <c r="F413" s="200"/>
      <c r="G413" s="200"/>
      <c r="H413" s="200"/>
      <c r="I413" s="200"/>
      <c r="J413" s="205"/>
      <c r="K413" s="205"/>
      <c r="L413" s="205"/>
      <c r="M413" s="200"/>
      <c r="N413" s="206"/>
      <c r="O413" s="200"/>
      <c r="P413" s="200"/>
      <c r="Q413" s="208"/>
      <c r="R413" s="209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171"/>
      <c r="AE413" s="171"/>
      <c r="AF413" s="171"/>
      <c r="AG413" s="171"/>
      <c r="AH413" s="209"/>
      <c r="AI413" s="200"/>
      <c r="AJ413" s="200"/>
    </row>
    <row r="414" spans="1:37" ht="39.75" hidden="1" customHeight="1" x14ac:dyDescent="0.45">
      <c r="A414" s="163">
        <v>1</v>
      </c>
      <c r="B414" s="19">
        <v>1</v>
      </c>
      <c r="C414" s="203" t="s">
        <v>321</v>
      </c>
      <c r="D414" s="19" t="s">
        <v>381</v>
      </c>
      <c r="E414" s="146" t="s">
        <v>382</v>
      </c>
      <c r="F414" s="14" t="s">
        <v>383</v>
      </c>
      <c r="G414" s="14">
        <v>1969</v>
      </c>
      <c r="H414" s="14">
        <v>5</v>
      </c>
      <c r="I414" s="14">
        <v>6</v>
      </c>
      <c r="J414" s="42">
        <v>4473.7</v>
      </c>
      <c r="K414" s="42"/>
      <c r="L414" s="42"/>
      <c r="M414" s="14">
        <v>224</v>
      </c>
      <c r="N414" s="44" t="s">
        <v>365</v>
      </c>
      <c r="O414" s="14" t="s">
        <v>366</v>
      </c>
      <c r="P414" s="14"/>
      <c r="Q414" s="45"/>
      <c r="R414" s="194">
        <v>2377151.2400000002</v>
      </c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197">
        <v>124000</v>
      </c>
      <c r="AD414" s="157">
        <f t="shared" ref="AD414:AD418" si="105">R414+AC414</f>
        <v>2501151.2400000002</v>
      </c>
      <c r="AE414" s="157">
        <f t="shared" ref="AE414:AE418" si="106">AD414</f>
        <v>2501151.2400000002</v>
      </c>
      <c r="AF414" s="157"/>
      <c r="AG414" s="157"/>
      <c r="AH414" s="159"/>
      <c r="AI414" s="19">
        <v>2022</v>
      </c>
      <c r="AJ414" s="19">
        <v>2022</v>
      </c>
      <c r="AK414" s="130" t="s">
        <v>387</v>
      </c>
    </row>
    <row r="415" spans="1:37" s="124" customFormat="1" ht="15" hidden="1" customHeight="1" x14ac:dyDescent="0.45">
      <c r="A415" s="140"/>
      <c r="B415" s="141"/>
      <c r="C415" s="201"/>
      <c r="D415" s="200"/>
      <c r="E415" s="141"/>
      <c r="F415" s="200"/>
      <c r="G415" s="200"/>
      <c r="H415" s="200"/>
      <c r="I415" s="200"/>
      <c r="J415" s="205"/>
      <c r="K415" s="205"/>
      <c r="L415" s="205"/>
      <c r="M415" s="200"/>
      <c r="N415" s="206"/>
      <c r="O415" s="200"/>
      <c r="P415" s="200"/>
      <c r="Q415" s="208"/>
      <c r="R415" s="209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171"/>
      <c r="AE415" s="171"/>
      <c r="AF415" s="171"/>
      <c r="AG415" s="171"/>
      <c r="AH415" s="209"/>
      <c r="AI415" s="200"/>
      <c r="AJ415" s="200"/>
    </row>
    <row r="416" spans="1:37" ht="57" hidden="1" customHeight="1" x14ac:dyDescent="0.45">
      <c r="A416" s="163">
        <v>1</v>
      </c>
      <c r="B416" s="19">
        <v>1</v>
      </c>
      <c r="C416" s="203" t="s">
        <v>322</v>
      </c>
      <c r="D416" s="19" t="s">
        <v>381</v>
      </c>
      <c r="E416" s="146" t="s">
        <v>382</v>
      </c>
      <c r="F416" s="14" t="s">
        <v>383</v>
      </c>
      <c r="G416" s="14">
        <v>1970</v>
      </c>
      <c r="H416" s="14">
        <v>5</v>
      </c>
      <c r="I416" s="14">
        <v>9</v>
      </c>
      <c r="J416" s="42">
        <v>6455.9</v>
      </c>
      <c r="K416" s="42"/>
      <c r="L416" s="42"/>
      <c r="M416" s="14">
        <v>281</v>
      </c>
      <c r="N416" s="44" t="s">
        <v>365</v>
      </c>
      <c r="O416" s="14" t="s">
        <v>366</v>
      </c>
      <c r="P416" s="14"/>
      <c r="Q416" s="45"/>
      <c r="R416" s="194">
        <v>2377151.2400000002</v>
      </c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197">
        <v>124000</v>
      </c>
      <c r="AD416" s="157">
        <f t="shared" si="105"/>
        <v>2501151.2400000002</v>
      </c>
      <c r="AE416" s="157">
        <f t="shared" si="106"/>
        <v>2501151.2400000002</v>
      </c>
      <c r="AF416" s="157"/>
      <c r="AG416" s="157"/>
      <c r="AH416" s="159"/>
      <c r="AI416" s="19">
        <v>2022</v>
      </c>
      <c r="AJ416" s="19">
        <v>2022</v>
      </c>
      <c r="AK416" s="130" t="s">
        <v>387</v>
      </c>
    </row>
    <row r="417" spans="1:37" s="124" customFormat="1" ht="15" hidden="1" customHeight="1" x14ac:dyDescent="0.45">
      <c r="A417" s="140"/>
      <c r="B417" s="141"/>
      <c r="C417" s="201"/>
      <c r="D417" s="200"/>
      <c r="E417" s="141"/>
      <c r="F417" s="200"/>
      <c r="G417" s="200"/>
      <c r="H417" s="200"/>
      <c r="I417" s="200"/>
      <c r="J417" s="205"/>
      <c r="K417" s="205"/>
      <c r="L417" s="205"/>
      <c r="M417" s="200"/>
      <c r="N417" s="206"/>
      <c r="O417" s="200"/>
      <c r="P417" s="200"/>
      <c r="Q417" s="208"/>
      <c r="R417" s="209"/>
      <c r="S417" s="208"/>
      <c r="T417" s="208"/>
      <c r="U417" s="208"/>
      <c r="V417" s="208"/>
      <c r="W417" s="208"/>
      <c r="X417" s="208"/>
      <c r="Y417" s="208"/>
      <c r="Z417" s="208"/>
      <c r="AA417" s="208"/>
      <c r="AB417" s="208"/>
      <c r="AC417" s="208"/>
      <c r="AD417" s="171"/>
      <c r="AE417" s="171"/>
      <c r="AF417" s="171"/>
      <c r="AG417" s="171"/>
      <c r="AH417" s="209"/>
      <c r="AI417" s="200"/>
      <c r="AJ417" s="200"/>
    </row>
    <row r="418" spans="1:37" ht="56.25" hidden="1" customHeight="1" x14ac:dyDescent="0.45">
      <c r="A418" s="163">
        <v>1</v>
      </c>
      <c r="B418" s="19">
        <v>1</v>
      </c>
      <c r="C418" s="203" t="s">
        <v>323</v>
      </c>
      <c r="D418" s="19" t="s">
        <v>381</v>
      </c>
      <c r="E418" s="146" t="s">
        <v>382</v>
      </c>
      <c r="F418" s="14" t="s">
        <v>383</v>
      </c>
      <c r="G418" s="14">
        <v>1971</v>
      </c>
      <c r="H418" s="14">
        <v>5</v>
      </c>
      <c r="I418" s="14">
        <v>7</v>
      </c>
      <c r="J418" s="42">
        <v>5039.2</v>
      </c>
      <c r="K418" s="42"/>
      <c r="L418" s="42"/>
      <c r="M418" s="14">
        <v>225</v>
      </c>
      <c r="N418" s="44" t="s">
        <v>365</v>
      </c>
      <c r="O418" s="14" t="s">
        <v>366</v>
      </c>
      <c r="P418" s="14"/>
      <c r="Q418" s="45"/>
      <c r="R418" s="194">
        <v>2377151.2400000002</v>
      </c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197">
        <v>124000</v>
      </c>
      <c r="AD418" s="157">
        <f t="shared" si="105"/>
        <v>2501151.2400000002</v>
      </c>
      <c r="AE418" s="157">
        <f t="shared" si="106"/>
        <v>2501151.2400000002</v>
      </c>
      <c r="AF418" s="157"/>
      <c r="AG418" s="157"/>
      <c r="AH418" s="159"/>
      <c r="AI418" s="19">
        <v>2022</v>
      </c>
      <c r="AJ418" s="19">
        <v>2022</v>
      </c>
      <c r="AK418" s="130" t="s">
        <v>387</v>
      </c>
    </row>
    <row r="419" spans="1:37" s="124" customFormat="1" ht="15" hidden="1" customHeight="1" x14ac:dyDescent="0.45">
      <c r="A419" s="140"/>
      <c r="B419" s="141"/>
      <c r="C419" s="201"/>
      <c r="D419" s="200"/>
      <c r="E419" s="141"/>
      <c r="F419" s="200"/>
      <c r="G419" s="200"/>
      <c r="H419" s="200"/>
      <c r="I419" s="200"/>
      <c r="J419" s="205"/>
      <c r="K419" s="205"/>
      <c r="L419" s="205"/>
      <c r="M419" s="200"/>
      <c r="N419" s="206"/>
      <c r="O419" s="200"/>
      <c r="P419" s="200"/>
      <c r="Q419" s="208"/>
      <c r="R419" s="209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  <c r="AC419" s="208"/>
      <c r="AD419" s="171"/>
      <c r="AE419" s="171"/>
      <c r="AF419" s="171"/>
      <c r="AG419" s="171"/>
      <c r="AH419" s="209"/>
      <c r="AI419" s="200"/>
      <c r="AJ419" s="200"/>
    </row>
    <row r="420" spans="1:37" ht="51" hidden="1" customHeight="1" x14ac:dyDescent="0.45">
      <c r="A420" s="163">
        <v>1</v>
      </c>
      <c r="B420" s="19">
        <v>1</v>
      </c>
      <c r="C420" s="203" t="s">
        <v>324</v>
      </c>
      <c r="D420" s="19" t="s">
        <v>381</v>
      </c>
      <c r="E420" s="146" t="s">
        <v>382</v>
      </c>
      <c r="F420" s="14" t="s">
        <v>383</v>
      </c>
      <c r="G420" s="14" t="s">
        <v>384</v>
      </c>
      <c r="H420" s="14">
        <v>5</v>
      </c>
      <c r="I420" s="14">
        <v>8</v>
      </c>
      <c r="J420" s="42">
        <v>3207.2</v>
      </c>
      <c r="K420" s="42"/>
      <c r="L420" s="42"/>
      <c r="M420" s="14" t="s">
        <v>538</v>
      </c>
      <c r="N420" s="44" t="s">
        <v>365</v>
      </c>
      <c r="O420" s="14" t="s">
        <v>366</v>
      </c>
      <c r="P420" s="14"/>
      <c r="Q420" s="45"/>
      <c r="R420" s="194">
        <v>2377151.2400000002</v>
      </c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197">
        <v>124000</v>
      </c>
      <c r="AD420" s="157">
        <f t="shared" ref="AD420:AD424" si="107">R420+AC420</f>
        <v>2501151.2400000002</v>
      </c>
      <c r="AE420" s="157">
        <f t="shared" ref="AE420:AE424" si="108">AD420</f>
        <v>2501151.2400000002</v>
      </c>
      <c r="AF420" s="157"/>
      <c r="AG420" s="157"/>
      <c r="AH420" s="159"/>
      <c r="AI420" s="19">
        <v>2022</v>
      </c>
      <c r="AJ420" s="19">
        <v>2022</v>
      </c>
      <c r="AK420" s="130" t="s">
        <v>387</v>
      </c>
    </row>
    <row r="421" spans="1:37" s="124" customFormat="1" ht="15" hidden="1" customHeight="1" x14ac:dyDescent="0.45">
      <c r="A421" s="140"/>
      <c r="B421" s="141"/>
      <c r="C421" s="201"/>
      <c r="D421" s="200"/>
      <c r="E421" s="141"/>
      <c r="F421" s="200"/>
      <c r="G421" s="200"/>
      <c r="H421" s="200"/>
      <c r="I421" s="200"/>
      <c r="J421" s="205"/>
      <c r="K421" s="205"/>
      <c r="L421" s="205"/>
      <c r="M421" s="200"/>
      <c r="N421" s="206"/>
      <c r="O421" s="200"/>
      <c r="P421" s="200"/>
      <c r="Q421" s="208"/>
      <c r="R421" s="209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  <c r="AC421" s="208"/>
      <c r="AD421" s="171"/>
      <c r="AE421" s="171"/>
      <c r="AF421" s="171"/>
      <c r="AG421" s="171"/>
      <c r="AH421" s="209"/>
      <c r="AI421" s="200"/>
      <c r="AJ421" s="200"/>
    </row>
    <row r="422" spans="1:37" ht="58.5" hidden="1" customHeight="1" x14ac:dyDescent="0.45">
      <c r="A422" s="163">
        <v>1</v>
      </c>
      <c r="B422" s="19">
        <v>1</v>
      </c>
      <c r="C422" s="203" t="s">
        <v>325</v>
      </c>
      <c r="D422" s="19" t="s">
        <v>381</v>
      </c>
      <c r="E422" s="146" t="s">
        <v>382</v>
      </c>
      <c r="F422" s="14" t="s">
        <v>383</v>
      </c>
      <c r="G422" s="14">
        <v>1971</v>
      </c>
      <c r="H422" s="14">
        <v>5</v>
      </c>
      <c r="I422" s="14">
        <v>4</v>
      </c>
      <c r="J422" s="42">
        <v>3039.1</v>
      </c>
      <c r="K422" s="42"/>
      <c r="L422" s="42"/>
      <c r="M422" s="14">
        <v>125</v>
      </c>
      <c r="N422" s="44" t="s">
        <v>365</v>
      </c>
      <c r="O422" s="14" t="s">
        <v>366</v>
      </c>
      <c r="P422" s="14"/>
      <c r="Q422" s="45"/>
      <c r="R422" s="194">
        <v>2377151.2400000002</v>
      </c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197">
        <v>124000</v>
      </c>
      <c r="AD422" s="157">
        <f t="shared" si="107"/>
        <v>2501151.2400000002</v>
      </c>
      <c r="AE422" s="157">
        <f t="shared" si="108"/>
        <v>2501151.2400000002</v>
      </c>
      <c r="AF422" s="157"/>
      <c r="AG422" s="157"/>
      <c r="AH422" s="159"/>
      <c r="AI422" s="19">
        <v>2022</v>
      </c>
      <c r="AJ422" s="19">
        <v>2022</v>
      </c>
      <c r="AK422" s="130" t="s">
        <v>387</v>
      </c>
    </row>
    <row r="423" spans="1:37" s="124" customFormat="1" ht="15" hidden="1" customHeight="1" x14ac:dyDescent="0.45">
      <c r="A423" s="163"/>
      <c r="B423" s="141"/>
      <c r="C423" s="201"/>
      <c r="D423" s="200"/>
      <c r="E423" s="141"/>
      <c r="F423" s="200"/>
      <c r="G423" s="200"/>
      <c r="H423" s="200"/>
      <c r="I423" s="200"/>
      <c r="J423" s="205"/>
      <c r="K423" s="205"/>
      <c r="L423" s="205"/>
      <c r="M423" s="200"/>
      <c r="N423" s="206"/>
      <c r="O423" s="200"/>
      <c r="P423" s="200"/>
      <c r="Q423" s="208"/>
      <c r="R423" s="209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  <c r="AC423" s="208"/>
      <c r="AD423" s="171"/>
      <c r="AE423" s="171"/>
      <c r="AF423" s="171"/>
      <c r="AG423" s="171"/>
      <c r="AH423" s="209"/>
      <c r="AI423" s="200"/>
      <c r="AJ423" s="200"/>
    </row>
    <row r="424" spans="1:37" ht="58.5" hidden="1" customHeight="1" x14ac:dyDescent="0.45">
      <c r="A424" s="163">
        <v>1</v>
      </c>
      <c r="B424" s="19">
        <v>1</v>
      </c>
      <c r="C424" s="203" t="s">
        <v>326</v>
      </c>
      <c r="D424" s="19" t="s">
        <v>381</v>
      </c>
      <c r="E424" s="146" t="s">
        <v>382</v>
      </c>
      <c r="F424" s="14" t="s">
        <v>383</v>
      </c>
      <c r="G424" s="14">
        <v>1971</v>
      </c>
      <c r="H424" s="14">
        <v>5</v>
      </c>
      <c r="I424" s="14">
        <v>4</v>
      </c>
      <c r="J424" s="42">
        <v>3349.8</v>
      </c>
      <c r="K424" s="42"/>
      <c r="L424" s="42"/>
      <c r="M424" s="14">
        <v>129</v>
      </c>
      <c r="N424" s="44" t="s">
        <v>365</v>
      </c>
      <c r="O424" s="14" t="s">
        <v>366</v>
      </c>
      <c r="P424" s="14"/>
      <c r="Q424" s="45"/>
      <c r="R424" s="194">
        <v>2377151.2400000002</v>
      </c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197">
        <v>124000</v>
      </c>
      <c r="AD424" s="157">
        <f t="shared" si="107"/>
        <v>2501151.2400000002</v>
      </c>
      <c r="AE424" s="157">
        <f t="shared" si="108"/>
        <v>2501151.2400000002</v>
      </c>
      <c r="AF424" s="157"/>
      <c r="AG424" s="157"/>
      <c r="AH424" s="159"/>
      <c r="AI424" s="19">
        <v>2022</v>
      </c>
      <c r="AJ424" s="19">
        <v>2022</v>
      </c>
      <c r="AK424" s="130" t="s">
        <v>387</v>
      </c>
    </row>
    <row r="425" spans="1:37" s="124" customFormat="1" ht="15" hidden="1" customHeight="1" x14ac:dyDescent="0.45">
      <c r="A425" s="140"/>
      <c r="B425" s="141"/>
      <c r="C425" s="201"/>
      <c r="D425" s="200"/>
      <c r="E425" s="141"/>
      <c r="F425" s="200"/>
      <c r="G425" s="200"/>
      <c r="H425" s="200"/>
      <c r="I425" s="200"/>
      <c r="J425" s="205"/>
      <c r="K425" s="205"/>
      <c r="L425" s="205"/>
      <c r="M425" s="200"/>
      <c r="N425" s="206"/>
      <c r="O425" s="200"/>
      <c r="P425" s="200"/>
      <c r="Q425" s="208"/>
      <c r="R425" s="209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171"/>
      <c r="AE425" s="171"/>
      <c r="AF425" s="171"/>
      <c r="AG425" s="171"/>
      <c r="AH425" s="209"/>
      <c r="AI425" s="200"/>
      <c r="AJ425" s="200"/>
    </row>
    <row r="426" spans="1:37" ht="58.5" hidden="1" customHeight="1" x14ac:dyDescent="0.45">
      <c r="A426" s="163">
        <v>1</v>
      </c>
      <c r="B426" s="19">
        <v>1</v>
      </c>
      <c r="C426" s="203" t="s">
        <v>327</v>
      </c>
      <c r="D426" s="19" t="s">
        <v>381</v>
      </c>
      <c r="E426" s="146" t="s">
        <v>382</v>
      </c>
      <c r="F426" s="14" t="s">
        <v>383</v>
      </c>
      <c r="G426" s="14">
        <v>1971</v>
      </c>
      <c r="H426" s="14">
        <v>5</v>
      </c>
      <c r="I426" s="14">
        <v>7</v>
      </c>
      <c r="J426" s="42">
        <v>5400.7</v>
      </c>
      <c r="K426" s="42"/>
      <c r="L426" s="42"/>
      <c r="M426" s="14">
        <v>99</v>
      </c>
      <c r="N426" s="44" t="s">
        <v>365</v>
      </c>
      <c r="O426" s="14" t="s">
        <v>366</v>
      </c>
      <c r="P426" s="14"/>
      <c r="Q426" s="45"/>
      <c r="R426" s="194">
        <v>4754302.4800000004</v>
      </c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197">
        <v>248000</v>
      </c>
      <c r="AD426" s="157">
        <f>R426+AC426</f>
        <v>5002302.4800000004</v>
      </c>
      <c r="AE426" s="157">
        <f>AD426</f>
        <v>5002302.4800000004</v>
      </c>
      <c r="AF426" s="157"/>
      <c r="AG426" s="157"/>
      <c r="AH426" s="159"/>
      <c r="AI426" s="19">
        <v>2022</v>
      </c>
      <c r="AJ426" s="19">
        <v>2022</v>
      </c>
      <c r="AK426" s="130" t="s">
        <v>387</v>
      </c>
    </row>
    <row r="427" spans="1:37" s="124" customFormat="1" ht="15" hidden="1" customHeight="1" x14ac:dyDescent="0.45">
      <c r="A427" s="163"/>
      <c r="B427" s="141"/>
      <c r="C427" s="201"/>
      <c r="D427" s="200"/>
      <c r="E427" s="141"/>
      <c r="F427" s="200"/>
      <c r="G427" s="200"/>
      <c r="H427" s="200"/>
      <c r="I427" s="200"/>
      <c r="J427" s="205"/>
      <c r="K427" s="205"/>
      <c r="L427" s="205"/>
      <c r="M427" s="200"/>
      <c r="N427" s="206"/>
      <c r="O427" s="200"/>
      <c r="P427" s="200"/>
      <c r="Q427" s="208"/>
      <c r="R427" s="209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171"/>
      <c r="AE427" s="171"/>
      <c r="AF427" s="171"/>
      <c r="AG427" s="171"/>
      <c r="AH427" s="209"/>
      <c r="AI427" s="200"/>
      <c r="AJ427" s="200"/>
    </row>
    <row r="428" spans="1:37" ht="84.9" hidden="1" customHeight="1" x14ac:dyDescent="0.45">
      <c r="A428" s="163">
        <v>1</v>
      </c>
      <c r="B428" s="19">
        <v>290</v>
      </c>
      <c r="C428" s="202" t="s">
        <v>539</v>
      </c>
      <c r="D428" s="19" t="s">
        <v>362</v>
      </c>
      <c r="E428" s="19"/>
      <c r="F428" s="19" t="s">
        <v>376</v>
      </c>
      <c r="G428" s="14">
        <v>1971</v>
      </c>
      <c r="H428" s="14">
        <v>5</v>
      </c>
      <c r="I428" s="14">
        <v>4</v>
      </c>
      <c r="J428" s="42">
        <v>2747.8</v>
      </c>
      <c r="K428" s="42">
        <v>2716.1</v>
      </c>
      <c r="L428" s="42">
        <v>2716.1</v>
      </c>
      <c r="M428" s="14">
        <v>152</v>
      </c>
      <c r="N428" s="44" t="s">
        <v>365</v>
      </c>
      <c r="O428" s="14" t="s">
        <v>366</v>
      </c>
      <c r="P428" s="14"/>
      <c r="Q428" s="45">
        <v>1706659.7</v>
      </c>
      <c r="R428" s="46">
        <v>9276640.5199999996</v>
      </c>
      <c r="S428" s="45">
        <v>1800681.76</v>
      </c>
      <c r="T428" s="45">
        <v>1781018.83</v>
      </c>
      <c r="U428" s="45"/>
      <c r="V428" s="45">
        <v>1785034.5</v>
      </c>
      <c r="W428" s="45"/>
      <c r="X428" s="45"/>
      <c r="Y428" s="45">
        <v>9740630.4000000004</v>
      </c>
      <c r="Z428" s="45"/>
      <c r="AA428" s="45"/>
      <c r="AB428" s="45"/>
      <c r="AC428" s="215">
        <v>1328755</v>
      </c>
      <c r="AD428" s="99">
        <f t="shared" ref="AD428:AD432" si="109">SUM(Q428:AC428)</f>
        <v>27419420.710000001</v>
      </c>
      <c r="AE428" s="28"/>
      <c r="AF428" s="28"/>
      <c r="AG428" s="28">
        <f>AD428</f>
        <v>27419420.710000001</v>
      </c>
      <c r="AH428" s="46"/>
      <c r="AI428" s="14" t="s">
        <v>507</v>
      </c>
      <c r="AJ428" s="14" t="s">
        <v>471</v>
      </c>
    </row>
    <row r="429" spans="1:37" s="124" customFormat="1" ht="15" hidden="1" customHeight="1" x14ac:dyDescent="0.45">
      <c r="A429" s="140"/>
      <c r="B429" s="141"/>
      <c r="C429" s="201"/>
      <c r="D429" s="200"/>
      <c r="E429" s="141"/>
      <c r="F429" s="200"/>
      <c r="G429" s="200"/>
      <c r="H429" s="200"/>
      <c r="I429" s="200"/>
      <c r="J429" s="205"/>
      <c r="K429" s="205"/>
      <c r="L429" s="205"/>
      <c r="M429" s="200"/>
      <c r="N429" s="206"/>
      <c r="O429" s="200"/>
      <c r="P429" s="200"/>
      <c r="Q429" s="208">
        <v>1706659.7</v>
      </c>
      <c r="R429" s="209">
        <v>9276640.5199999996</v>
      </c>
      <c r="S429" s="208">
        <v>1800681.76</v>
      </c>
      <c r="T429" s="208">
        <v>1781018.83</v>
      </c>
      <c r="U429" s="208"/>
      <c r="V429" s="208">
        <v>1785034.5</v>
      </c>
      <c r="W429" s="208"/>
      <c r="X429" s="208"/>
      <c r="Y429" s="208">
        <v>9740630.4000000004</v>
      </c>
      <c r="Z429" s="208"/>
      <c r="AA429" s="208"/>
      <c r="AB429" s="208"/>
      <c r="AC429" s="208">
        <v>1602132.2</v>
      </c>
      <c r="AD429" s="171">
        <v>27692797.91</v>
      </c>
      <c r="AE429" s="171"/>
      <c r="AF429" s="171"/>
      <c r="AG429" s="171">
        <v>27692797.91</v>
      </c>
      <c r="AH429" s="209"/>
      <c r="AI429" s="200"/>
      <c r="AJ429" s="200"/>
    </row>
    <row r="430" spans="1:37" ht="84.9" hidden="1" customHeight="1" x14ac:dyDescent="0.45">
      <c r="A430" s="163">
        <v>1</v>
      </c>
      <c r="B430" s="19">
        <v>291</v>
      </c>
      <c r="C430" s="138" t="s">
        <v>540</v>
      </c>
      <c r="D430" s="19"/>
      <c r="E430" s="19"/>
      <c r="F430" s="19" t="s">
        <v>376</v>
      </c>
      <c r="G430" s="19">
        <v>1966</v>
      </c>
      <c r="H430" s="19">
        <v>5</v>
      </c>
      <c r="I430" s="19">
        <v>2</v>
      </c>
      <c r="J430" s="23">
        <v>2155</v>
      </c>
      <c r="K430" s="23">
        <v>1976</v>
      </c>
      <c r="L430" s="23">
        <v>1643.3</v>
      </c>
      <c r="M430" s="19">
        <v>88</v>
      </c>
      <c r="N430" s="15" t="s">
        <v>365</v>
      </c>
      <c r="O430" s="19" t="s">
        <v>366</v>
      </c>
      <c r="P430" s="19"/>
      <c r="Q430" s="28"/>
      <c r="R430" s="37"/>
      <c r="S430" s="28"/>
      <c r="T430" s="28"/>
      <c r="U430" s="28"/>
      <c r="V430" s="28"/>
      <c r="W430" s="28"/>
      <c r="X430" s="28"/>
      <c r="Y430" s="28">
        <v>8432162.1600000001</v>
      </c>
      <c r="Z430" s="28"/>
      <c r="AA430" s="28"/>
      <c r="AB430" s="28"/>
      <c r="AC430" s="28">
        <v>939358.67</v>
      </c>
      <c r="AD430" s="28">
        <f t="shared" si="109"/>
        <v>9371520.8300000001</v>
      </c>
      <c r="AE430" s="28"/>
      <c r="AF430" s="28"/>
      <c r="AG430" s="28">
        <f>AD430</f>
        <v>9371520.8300000001</v>
      </c>
      <c r="AH430" s="37"/>
      <c r="AI430" s="19">
        <v>2022</v>
      </c>
      <c r="AJ430" s="19">
        <v>2023</v>
      </c>
    </row>
    <row r="431" spans="1:37" s="124" customFormat="1" ht="15" hidden="1" customHeight="1" x14ac:dyDescent="0.45">
      <c r="A431" s="140"/>
      <c r="B431" s="141"/>
      <c r="C431" s="201"/>
      <c r="D431" s="200"/>
      <c r="E431" s="141"/>
      <c r="F431" s="141"/>
      <c r="G431" s="200"/>
      <c r="H431" s="200"/>
      <c r="I431" s="200"/>
      <c r="J431" s="205"/>
      <c r="K431" s="205"/>
      <c r="L431" s="205"/>
      <c r="M431" s="200"/>
      <c r="N431" s="206"/>
      <c r="O431" s="200"/>
      <c r="P431" s="200"/>
      <c r="Q431" s="208"/>
      <c r="R431" s="209"/>
      <c r="S431" s="208"/>
      <c r="T431" s="208"/>
      <c r="U431" s="208"/>
      <c r="V431" s="208"/>
      <c r="W431" s="208"/>
      <c r="X431" s="208"/>
      <c r="Y431" s="208">
        <v>8432162.1600000001</v>
      </c>
      <c r="Z431" s="208"/>
      <c r="AA431" s="208"/>
      <c r="AB431" s="208"/>
      <c r="AC431" s="208">
        <v>939358.67</v>
      </c>
      <c r="AD431" s="171">
        <v>9371520.8300000001</v>
      </c>
      <c r="AE431" s="171"/>
      <c r="AF431" s="171"/>
      <c r="AG431" s="171">
        <v>9371520.8300000001</v>
      </c>
      <c r="AH431" s="209"/>
      <c r="AI431" s="200"/>
      <c r="AJ431" s="200"/>
    </row>
    <row r="432" spans="1:37" ht="84.9" hidden="1" customHeight="1" x14ac:dyDescent="0.45">
      <c r="A432" s="163">
        <v>1</v>
      </c>
      <c r="B432" s="19">
        <v>292</v>
      </c>
      <c r="C432" s="202" t="s">
        <v>541</v>
      </c>
      <c r="D432" s="19" t="s">
        <v>362</v>
      </c>
      <c r="E432" s="19" t="s">
        <v>369</v>
      </c>
      <c r="F432" s="19" t="s">
        <v>370</v>
      </c>
      <c r="G432" s="14">
        <v>1950</v>
      </c>
      <c r="H432" s="14">
        <v>5</v>
      </c>
      <c r="I432" s="14">
        <v>4</v>
      </c>
      <c r="J432" s="42">
        <v>2713.3</v>
      </c>
      <c r="K432" s="42">
        <v>2713.3</v>
      </c>
      <c r="L432" s="42">
        <v>1736.2</v>
      </c>
      <c r="M432" s="14" t="s">
        <v>364</v>
      </c>
      <c r="N432" s="44" t="s">
        <v>365</v>
      </c>
      <c r="O432" s="14" t="s">
        <v>366</v>
      </c>
      <c r="P432" s="14"/>
      <c r="Q432" s="215">
        <v>1252442.95</v>
      </c>
      <c r="R432" s="226">
        <v>8411496.1199999992</v>
      </c>
      <c r="S432" s="215">
        <v>1619900.98</v>
      </c>
      <c r="T432" s="215">
        <v>1722217.24</v>
      </c>
      <c r="U432" s="66">
        <f>ROUND(1197448.78*1.015,2)</f>
        <v>1215410.51</v>
      </c>
      <c r="V432" s="215">
        <v>1760073.14</v>
      </c>
      <c r="W432" s="45"/>
      <c r="X432" s="45"/>
      <c r="Y432" s="45"/>
      <c r="Z432" s="45"/>
      <c r="AA432" s="45"/>
      <c r="AB432" s="45"/>
      <c r="AC432" s="45">
        <v>679427.78</v>
      </c>
      <c r="AD432" s="99">
        <f t="shared" si="109"/>
        <v>16660968.719999999</v>
      </c>
      <c r="AE432" s="28"/>
      <c r="AF432" s="28"/>
      <c r="AG432" s="28">
        <f>SUM(Q432:AC432)</f>
        <v>16660968.719999999</v>
      </c>
      <c r="AH432" s="46"/>
      <c r="AI432" s="14">
        <v>2020</v>
      </c>
      <c r="AJ432" s="14">
        <v>2022</v>
      </c>
    </row>
    <row r="433" spans="1:38" s="124" customFormat="1" ht="15" hidden="1" customHeight="1" x14ac:dyDescent="0.45">
      <c r="A433" s="140"/>
      <c r="B433" s="141"/>
      <c r="C433" s="201"/>
      <c r="D433" s="200"/>
      <c r="E433" s="141"/>
      <c r="F433" s="200"/>
      <c r="G433" s="200"/>
      <c r="H433" s="200"/>
      <c r="I433" s="200"/>
      <c r="J433" s="205"/>
      <c r="K433" s="205"/>
      <c r="L433" s="205"/>
      <c r="M433" s="200"/>
      <c r="N433" s="206"/>
      <c r="O433" s="200"/>
      <c r="P433" s="200"/>
      <c r="Q433" s="208">
        <v>916613.65</v>
      </c>
      <c r="R433" s="209">
        <v>6156042.6200000001</v>
      </c>
      <c r="S433" s="208">
        <v>1185541.7</v>
      </c>
      <c r="T433" s="208">
        <v>1260422.95</v>
      </c>
      <c r="U433" s="227">
        <v>1215410.51</v>
      </c>
      <c r="V433" s="208">
        <v>1288128.19</v>
      </c>
      <c r="W433" s="208"/>
      <c r="X433" s="208"/>
      <c r="Y433" s="208"/>
      <c r="Z433" s="208"/>
      <c r="AA433" s="208"/>
      <c r="AB433" s="208"/>
      <c r="AC433" s="208">
        <v>679427.78</v>
      </c>
      <c r="AD433" s="171">
        <v>12701587.4</v>
      </c>
      <c r="AE433" s="171"/>
      <c r="AF433" s="171"/>
      <c r="AG433" s="171">
        <v>12701587.4</v>
      </c>
      <c r="AH433" s="209"/>
      <c r="AI433" s="200"/>
      <c r="AJ433" s="200"/>
    </row>
    <row r="434" spans="1:38" ht="84.9" hidden="1" customHeight="1" x14ac:dyDescent="0.45">
      <c r="A434" s="163">
        <v>1</v>
      </c>
      <c r="B434" s="19">
        <v>293</v>
      </c>
      <c r="C434" s="202" t="s">
        <v>542</v>
      </c>
      <c r="D434" s="14"/>
      <c r="E434" s="19"/>
      <c r="F434" s="19" t="s">
        <v>376</v>
      </c>
      <c r="G434" s="19">
        <v>1962</v>
      </c>
      <c r="H434" s="19">
        <v>5</v>
      </c>
      <c r="I434" s="19">
        <v>3</v>
      </c>
      <c r="J434" s="23">
        <v>2614.8000000000002</v>
      </c>
      <c r="K434" s="23">
        <v>2537.1999999999998</v>
      </c>
      <c r="L434" s="23">
        <v>1777.3</v>
      </c>
      <c r="M434" s="19">
        <v>71</v>
      </c>
      <c r="N434" s="44" t="s">
        <v>365</v>
      </c>
      <c r="O434" s="14" t="s">
        <v>366</v>
      </c>
      <c r="P434" s="19"/>
      <c r="Q434" s="45"/>
      <c r="R434" s="46"/>
      <c r="S434" s="45"/>
      <c r="T434" s="45"/>
      <c r="U434" s="66"/>
      <c r="V434" s="45"/>
      <c r="W434" s="45"/>
      <c r="X434" s="45"/>
      <c r="Y434" s="45">
        <v>6807443.0899999999</v>
      </c>
      <c r="Z434" s="45"/>
      <c r="AA434" s="45">
        <v>9207396.9000000004</v>
      </c>
      <c r="AB434" s="45"/>
      <c r="AC434" s="45">
        <v>1094734.04</v>
      </c>
      <c r="AD434" s="28">
        <f>SUM(Q434:AC434)</f>
        <v>17109574.030000001</v>
      </c>
      <c r="AE434" s="28"/>
      <c r="AF434" s="28"/>
      <c r="AG434" s="28">
        <f>SUM(Y434+AA434+AC434)</f>
        <v>17109574.030000001</v>
      </c>
      <c r="AH434" s="46"/>
      <c r="AI434" s="14" t="s">
        <v>470</v>
      </c>
      <c r="AJ434" s="14" t="s">
        <v>543</v>
      </c>
    </row>
    <row r="435" spans="1:38" s="124" customFormat="1" ht="15" hidden="1" customHeight="1" x14ac:dyDescent="0.45">
      <c r="A435" s="140"/>
      <c r="B435" s="200"/>
      <c r="C435" s="201"/>
      <c r="D435" s="200"/>
      <c r="E435" s="200"/>
      <c r="F435" s="200"/>
      <c r="G435" s="200"/>
      <c r="H435" s="200"/>
      <c r="I435" s="200"/>
      <c r="J435" s="205"/>
      <c r="K435" s="205"/>
      <c r="L435" s="205"/>
      <c r="M435" s="200"/>
      <c r="N435" s="206"/>
      <c r="O435" s="200"/>
      <c r="P435" s="200"/>
      <c r="Q435" s="208">
        <v>916613.65</v>
      </c>
      <c r="R435" s="209">
        <v>6156042.6200000001</v>
      </c>
      <c r="S435" s="208">
        <v>1185541.7</v>
      </c>
      <c r="T435" s="208">
        <v>1260422.95</v>
      </c>
      <c r="U435" s="227">
        <v>1215410.51</v>
      </c>
      <c r="V435" s="208">
        <v>1288128.19</v>
      </c>
      <c r="W435" s="208"/>
      <c r="X435" s="208"/>
      <c r="Y435" s="208"/>
      <c r="Z435" s="208"/>
      <c r="AA435" s="208"/>
      <c r="AB435" s="208"/>
      <c r="AC435" s="208">
        <v>679427.78</v>
      </c>
      <c r="AD435" s="171">
        <v>12701587.4</v>
      </c>
      <c r="AE435" s="171"/>
      <c r="AF435" s="171"/>
      <c r="AG435" s="171">
        <v>12701587.4</v>
      </c>
      <c r="AH435" s="209"/>
      <c r="AI435" s="200"/>
      <c r="AJ435" s="200"/>
    </row>
    <row r="436" spans="1:38" ht="84.9" customHeight="1" x14ac:dyDescent="0.45">
      <c r="A436" s="163">
        <v>1</v>
      </c>
      <c r="B436" s="19">
        <v>1</v>
      </c>
      <c r="C436" s="221" t="s">
        <v>328</v>
      </c>
      <c r="D436" s="19" t="s">
        <v>381</v>
      </c>
      <c r="E436" s="146" t="s">
        <v>382</v>
      </c>
      <c r="F436" s="19" t="s">
        <v>383</v>
      </c>
      <c r="G436" s="19">
        <v>1976</v>
      </c>
      <c r="H436" s="19">
        <v>9</v>
      </c>
      <c r="I436" s="19">
        <v>4</v>
      </c>
      <c r="J436" s="23">
        <v>8728.9</v>
      </c>
      <c r="K436" s="23">
        <v>8728.9</v>
      </c>
      <c r="L436" s="23">
        <v>8728.9</v>
      </c>
      <c r="M436" s="19">
        <v>301</v>
      </c>
      <c r="N436" s="19" t="s">
        <v>365</v>
      </c>
      <c r="O436" s="14" t="s">
        <v>366</v>
      </c>
      <c r="P436" s="19"/>
      <c r="Q436" s="45"/>
      <c r="R436" s="46"/>
      <c r="S436" s="45"/>
      <c r="T436" s="45"/>
      <c r="U436" s="66"/>
      <c r="V436" s="45"/>
      <c r="W436" s="45"/>
      <c r="X436" s="198">
        <v>7405663.1399999997</v>
      </c>
      <c r="Y436" s="157"/>
      <c r="Z436" s="45"/>
      <c r="AA436" s="45"/>
      <c r="AB436" s="157"/>
      <c r="AC436" s="198">
        <v>303780.15999999997</v>
      </c>
      <c r="AD436" s="157">
        <f t="shared" ref="AD436:AD440" si="110">X436+AC436</f>
        <v>7709443.2999999998</v>
      </c>
      <c r="AE436" s="157"/>
      <c r="AF436" s="157"/>
      <c r="AG436" s="157">
        <f t="shared" ref="AG436:AG440" si="111">AD436</f>
        <v>7709443.2999999998</v>
      </c>
      <c r="AH436" s="159"/>
      <c r="AI436" s="19">
        <v>2022</v>
      </c>
      <c r="AJ436" s="19">
        <v>2022</v>
      </c>
      <c r="AK436" s="130" t="s">
        <v>393</v>
      </c>
    </row>
    <row r="437" spans="1:38" s="124" customFormat="1" ht="15" hidden="1" customHeight="1" x14ac:dyDescent="0.45">
      <c r="A437" s="140"/>
      <c r="B437" s="218"/>
      <c r="C437" s="222"/>
      <c r="D437" s="223"/>
      <c r="E437" s="218"/>
      <c r="F437" s="223"/>
      <c r="G437" s="223"/>
      <c r="H437" s="223"/>
      <c r="I437" s="223"/>
      <c r="J437" s="224"/>
      <c r="K437" s="224"/>
      <c r="L437" s="224"/>
      <c r="M437" s="223"/>
      <c r="N437" s="225"/>
      <c r="O437" s="223"/>
      <c r="P437" s="223"/>
      <c r="Q437" s="208">
        <v>916613.65</v>
      </c>
      <c r="R437" s="209">
        <v>6156042.6200000001</v>
      </c>
      <c r="S437" s="208">
        <v>1185541.7</v>
      </c>
      <c r="T437" s="208">
        <v>1260422.95</v>
      </c>
      <c r="U437" s="227">
        <v>1215410.51</v>
      </c>
      <c r="V437" s="208">
        <v>1288128.19</v>
      </c>
      <c r="W437" s="208"/>
      <c r="X437" s="208"/>
      <c r="Y437" s="208"/>
      <c r="Z437" s="208"/>
      <c r="AA437" s="208"/>
      <c r="AB437" s="208"/>
      <c r="AC437" s="208">
        <v>679427.78</v>
      </c>
      <c r="AD437" s="171">
        <v>12701587.4</v>
      </c>
      <c r="AE437" s="171"/>
      <c r="AF437" s="171"/>
      <c r="AG437" s="171">
        <v>12701587.4</v>
      </c>
      <c r="AH437" s="209"/>
      <c r="AI437" s="200"/>
      <c r="AJ437" s="200"/>
    </row>
    <row r="438" spans="1:38" ht="84.9" customHeight="1" x14ac:dyDescent="0.45">
      <c r="A438" s="163">
        <v>1</v>
      </c>
      <c r="B438" s="19">
        <v>1</v>
      </c>
      <c r="C438" s="221" t="s">
        <v>329</v>
      </c>
      <c r="D438" s="19" t="s">
        <v>381</v>
      </c>
      <c r="E438" s="146" t="s">
        <v>382</v>
      </c>
      <c r="F438" s="19" t="s">
        <v>383</v>
      </c>
      <c r="G438" s="19">
        <v>1975</v>
      </c>
      <c r="H438" s="19">
        <v>9</v>
      </c>
      <c r="I438" s="19">
        <v>2</v>
      </c>
      <c r="J438" s="23">
        <v>4531</v>
      </c>
      <c r="K438" s="23">
        <v>4531</v>
      </c>
      <c r="L438" s="23">
        <v>4531</v>
      </c>
      <c r="M438" s="19">
        <v>166</v>
      </c>
      <c r="N438" s="19" t="s">
        <v>365</v>
      </c>
      <c r="O438" s="14" t="s">
        <v>366</v>
      </c>
      <c r="P438" s="19"/>
      <c r="Q438" s="45"/>
      <c r="R438" s="46"/>
      <c r="S438" s="45"/>
      <c r="T438" s="45"/>
      <c r="U438" s="66"/>
      <c r="V438" s="45"/>
      <c r="W438" s="45"/>
      <c r="X438" s="198">
        <v>3702831.57</v>
      </c>
      <c r="Y438" s="157"/>
      <c r="Z438" s="45"/>
      <c r="AA438" s="45"/>
      <c r="AB438" s="157"/>
      <c r="AC438" s="198">
        <v>151890.07999999999</v>
      </c>
      <c r="AD438" s="157">
        <f t="shared" si="110"/>
        <v>3854721.65</v>
      </c>
      <c r="AE438" s="157"/>
      <c r="AF438" s="157"/>
      <c r="AG438" s="157">
        <f t="shared" si="111"/>
        <v>3854721.65</v>
      </c>
      <c r="AH438" s="159"/>
      <c r="AI438" s="19">
        <v>2022</v>
      </c>
      <c r="AJ438" s="19">
        <v>2022</v>
      </c>
      <c r="AK438" s="130" t="s">
        <v>393</v>
      </c>
    </row>
    <row r="439" spans="1:38" s="124" customFormat="1" ht="15" hidden="1" customHeight="1" x14ac:dyDescent="0.45">
      <c r="A439" s="140"/>
      <c r="B439" s="218"/>
      <c r="C439" s="222"/>
      <c r="D439" s="223"/>
      <c r="E439" s="218"/>
      <c r="F439" s="223"/>
      <c r="G439" s="223"/>
      <c r="H439" s="223"/>
      <c r="I439" s="223"/>
      <c r="J439" s="224"/>
      <c r="K439" s="224"/>
      <c r="L439" s="224"/>
      <c r="M439" s="223"/>
      <c r="N439" s="225"/>
      <c r="O439" s="223"/>
      <c r="P439" s="223"/>
      <c r="Q439" s="208">
        <v>916613.65</v>
      </c>
      <c r="R439" s="209">
        <v>6156042.6200000001</v>
      </c>
      <c r="S439" s="208">
        <v>1185541.7</v>
      </c>
      <c r="T439" s="208">
        <v>1260422.95</v>
      </c>
      <c r="U439" s="227">
        <v>1215410.51</v>
      </c>
      <c r="V439" s="208">
        <v>1288128.19</v>
      </c>
      <c r="W439" s="208"/>
      <c r="X439" s="208"/>
      <c r="Y439" s="208"/>
      <c r="Z439" s="208"/>
      <c r="AA439" s="208"/>
      <c r="AB439" s="208"/>
      <c r="AC439" s="208">
        <v>679427.78</v>
      </c>
      <c r="AD439" s="171">
        <v>12701587.4</v>
      </c>
      <c r="AE439" s="171"/>
      <c r="AF439" s="171"/>
      <c r="AG439" s="171">
        <v>12701587.4</v>
      </c>
      <c r="AH439" s="209"/>
      <c r="AI439" s="200"/>
      <c r="AJ439" s="200"/>
    </row>
    <row r="440" spans="1:38" ht="84.9" customHeight="1" x14ac:dyDescent="0.45">
      <c r="A440" s="163">
        <v>1</v>
      </c>
      <c r="B440" s="19">
        <v>1</v>
      </c>
      <c r="C440" s="221" t="s">
        <v>330</v>
      </c>
      <c r="D440" s="19" t="s">
        <v>381</v>
      </c>
      <c r="E440" s="146" t="s">
        <v>382</v>
      </c>
      <c r="F440" s="19" t="s">
        <v>383</v>
      </c>
      <c r="G440" s="19">
        <v>1977</v>
      </c>
      <c r="H440" s="19">
        <v>9</v>
      </c>
      <c r="I440" s="19">
        <v>1</v>
      </c>
      <c r="J440" s="23">
        <v>3551.7</v>
      </c>
      <c r="K440" s="23">
        <v>3551.7</v>
      </c>
      <c r="L440" s="23">
        <v>3551.7</v>
      </c>
      <c r="M440" s="19">
        <v>112</v>
      </c>
      <c r="N440" s="19" t="s">
        <v>365</v>
      </c>
      <c r="O440" s="14" t="s">
        <v>366</v>
      </c>
      <c r="P440" s="19"/>
      <c r="Q440" s="45"/>
      <c r="R440" s="46"/>
      <c r="S440" s="45"/>
      <c r="T440" s="45"/>
      <c r="U440" s="66"/>
      <c r="V440" s="45"/>
      <c r="W440" s="45"/>
      <c r="X440" s="198">
        <v>1851415.78</v>
      </c>
      <c r="Y440" s="157"/>
      <c r="Z440" s="45"/>
      <c r="AA440" s="45"/>
      <c r="AB440" s="157"/>
      <c r="AC440" s="198">
        <v>75945.039999999994</v>
      </c>
      <c r="AD440" s="157">
        <f t="shared" si="110"/>
        <v>1927360.82</v>
      </c>
      <c r="AE440" s="157"/>
      <c r="AF440" s="157"/>
      <c r="AG440" s="157">
        <f t="shared" si="111"/>
        <v>1927360.82</v>
      </c>
      <c r="AH440" s="159"/>
      <c r="AI440" s="19">
        <v>2022</v>
      </c>
      <c r="AJ440" s="19">
        <v>2022</v>
      </c>
      <c r="AK440" s="130" t="s">
        <v>393</v>
      </c>
    </row>
    <row r="441" spans="1:38" s="124" customFormat="1" ht="15" hidden="1" customHeight="1" x14ac:dyDescent="0.45">
      <c r="A441" s="140"/>
      <c r="B441" s="218"/>
      <c r="C441" s="222"/>
      <c r="D441" s="223"/>
      <c r="E441" s="218"/>
      <c r="F441" s="223"/>
      <c r="G441" s="223"/>
      <c r="H441" s="223"/>
      <c r="I441" s="223"/>
      <c r="J441" s="224"/>
      <c r="K441" s="224"/>
      <c r="L441" s="224"/>
      <c r="M441" s="223"/>
      <c r="N441" s="225"/>
      <c r="O441" s="223"/>
      <c r="P441" s="223"/>
      <c r="Q441" s="208">
        <v>916613.65</v>
      </c>
      <c r="R441" s="209">
        <v>6156042.6200000001</v>
      </c>
      <c r="S441" s="208">
        <v>1185541.7</v>
      </c>
      <c r="T441" s="208">
        <v>1260422.95</v>
      </c>
      <c r="U441" s="227">
        <v>1215410.51</v>
      </c>
      <c r="V441" s="208">
        <v>1288128.19</v>
      </c>
      <c r="W441" s="208"/>
      <c r="X441" s="208"/>
      <c r="Y441" s="208"/>
      <c r="Z441" s="208"/>
      <c r="AA441" s="208"/>
      <c r="AB441" s="208"/>
      <c r="AC441" s="208">
        <v>679427.78</v>
      </c>
      <c r="AD441" s="171">
        <v>12701587.4</v>
      </c>
      <c r="AE441" s="171"/>
      <c r="AF441" s="171"/>
      <c r="AG441" s="171">
        <v>12701587.4</v>
      </c>
      <c r="AH441" s="209"/>
      <c r="AI441" s="200"/>
      <c r="AJ441" s="200"/>
    </row>
    <row r="442" spans="1:38" ht="84.9" customHeight="1" x14ac:dyDescent="0.45">
      <c r="A442" s="163">
        <v>1</v>
      </c>
      <c r="B442" s="19">
        <v>1</v>
      </c>
      <c r="C442" s="221" t="s">
        <v>331</v>
      </c>
      <c r="D442" s="19" t="s">
        <v>381</v>
      </c>
      <c r="E442" s="146" t="s">
        <v>382</v>
      </c>
      <c r="F442" s="19" t="s">
        <v>383</v>
      </c>
      <c r="G442" s="19">
        <v>1976</v>
      </c>
      <c r="H442" s="19">
        <v>9</v>
      </c>
      <c r="I442" s="19">
        <v>6</v>
      </c>
      <c r="J442" s="23">
        <v>13115.9</v>
      </c>
      <c r="K442" s="23">
        <v>13115.9</v>
      </c>
      <c r="L442" s="23">
        <v>13115.9</v>
      </c>
      <c r="M442" s="19">
        <v>506</v>
      </c>
      <c r="N442" s="19" t="s">
        <v>365</v>
      </c>
      <c r="O442" s="14" t="s">
        <v>366</v>
      </c>
      <c r="P442" s="19"/>
      <c r="Q442" s="45"/>
      <c r="R442" s="46"/>
      <c r="S442" s="45"/>
      <c r="T442" s="45"/>
      <c r="U442" s="66"/>
      <c r="V442" s="45"/>
      <c r="W442" s="45"/>
      <c r="X442" s="198">
        <v>11108494.710000001</v>
      </c>
      <c r="Y442" s="157"/>
      <c r="Z442" s="45"/>
      <c r="AA442" s="45"/>
      <c r="AB442" s="157"/>
      <c r="AC442" s="198">
        <v>455670.24</v>
      </c>
      <c r="AD442" s="157">
        <f>X442+AC442</f>
        <v>11564164.950000001</v>
      </c>
      <c r="AE442" s="157"/>
      <c r="AF442" s="157"/>
      <c r="AG442" s="157">
        <f>AD442</f>
        <v>11564164.950000001</v>
      </c>
      <c r="AH442" s="159"/>
      <c r="AI442" s="19">
        <v>2022</v>
      </c>
      <c r="AJ442" s="19">
        <v>2022</v>
      </c>
      <c r="AK442" s="130" t="s">
        <v>393</v>
      </c>
    </row>
    <row r="443" spans="1:38" s="124" customFormat="1" ht="15" hidden="1" customHeight="1" x14ac:dyDescent="0.45">
      <c r="A443" s="140"/>
      <c r="B443" s="223"/>
      <c r="C443" s="222"/>
      <c r="D443" s="223"/>
      <c r="E443" s="223"/>
      <c r="F443" s="223"/>
      <c r="G443" s="223"/>
      <c r="H443" s="223"/>
      <c r="I443" s="223"/>
      <c r="J443" s="224"/>
      <c r="K443" s="224"/>
      <c r="L443" s="224"/>
      <c r="M443" s="223"/>
      <c r="N443" s="225"/>
      <c r="O443" s="223"/>
      <c r="P443" s="223"/>
      <c r="Q443" s="208">
        <v>916613.65</v>
      </c>
      <c r="R443" s="209">
        <v>6156042.6200000001</v>
      </c>
      <c r="S443" s="208">
        <v>1185541.7</v>
      </c>
      <c r="T443" s="208">
        <v>1260422.95</v>
      </c>
      <c r="U443" s="227">
        <v>1215410.51</v>
      </c>
      <c r="V443" s="208">
        <v>1288128.19</v>
      </c>
      <c r="W443" s="208"/>
      <c r="X443" s="208"/>
      <c r="Y443" s="208"/>
      <c r="Z443" s="208"/>
      <c r="AA443" s="208"/>
      <c r="AB443" s="208"/>
      <c r="AC443" s="208">
        <v>679427.78</v>
      </c>
      <c r="AD443" s="208">
        <v>12701587.4</v>
      </c>
      <c r="AE443" s="208"/>
      <c r="AF443" s="208"/>
      <c r="AG443" s="208">
        <v>12701587.4</v>
      </c>
      <c r="AH443" s="209"/>
      <c r="AI443" s="200"/>
      <c r="AJ443" s="200"/>
    </row>
    <row r="444" spans="1:38" s="126" customFormat="1" ht="45.75" hidden="1" customHeight="1" x14ac:dyDescent="0.45">
      <c r="A444" s="163">
        <v>1</v>
      </c>
      <c r="B444" s="19">
        <v>1</v>
      </c>
      <c r="C444" s="203" t="s">
        <v>332</v>
      </c>
      <c r="D444" s="19" t="s">
        <v>381</v>
      </c>
      <c r="E444" s="146" t="s">
        <v>382</v>
      </c>
      <c r="F444" s="19" t="s">
        <v>383</v>
      </c>
      <c r="G444" s="19">
        <v>1966</v>
      </c>
      <c r="H444" s="19">
        <v>5</v>
      </c>
      <c r="I444" s="19">
        <v>4</v>
      </c>
      <c r="J444" s="23">
        <v>3027.4</v>
      </c>
      <c r="K444" s="23"/>
      <c r="L444" s="23"/>
      <c r="M444" s="19">
        <v>137</v>
      </c>
      <c r="N444" s="19" t="s">
        <v>365</v>
      </c>
      <c r="O444" s="14" t="s">
        <v>366</v>
      </c>
      <c r="P444" s="19"/>
      <c r="Q444" s="28"/>
      <c r="R444" s="194">
        <v>2377151.2400000002</v>
      </c>
      <c r="S444" s="28"/>
      <c r="T444" s="28"/>
      <c r="U444" s="68"/>
      <c r="V444" s="28"/>
      <c r="W444" s="28"/>
      <c r="X444" s="28"/>
      <c r="Y444" s="28"/>
      <c r="Z444" s="28"/>
      <c r="AA444" s="28"/>
      <c r="AB444" s="28"/>
      <c r="AC444" s="197">
        <v>124000</v>
      </c>
      <c r="AD444" s="28">
        <f t="shared" ref="AD444:AD448" si="112">R444+AC444</f>
        <v>2501151.2400000002</v>
      </c>
      <c r="AE444" s="28"/>
      <c r="AF444" s="28"/>
      <c r="AG444" s="28"/>
      <c r="AH444" s="37"/>
      <c r="AI444" s="19">
        <v>2022</v>
      </c>
      <c r="AJ444" s="19">
        <v>2022</v>
      </c>
      <c r="AK444" s="130" t="s">
        <v>387</v>
      </c>
      <c r="AL444" s="130"/>
    </row>
    <row r="445" spans="1:38" s="127" customFormat="1" ht="15" hidden="1" customHeight="1" x14ac:dyDescent="0.45">
      <c r="A445" s="141"/>
      <c r="B445" s="141"/>
      <c r="C445" s="143"/>
      <c r="D445" s="141"/>
      <c r="E445" s="141"/>
      <c r="F445" s="141"/>
      <c r="G445" s="141"/>
      <c r="H445" s="141"/>
      <c r="I445" s="141"/>
      <c r="J445" s="149"/>
      <c r="K445" s="149"/>
      <c r="L445" s="149"/>
      <c r="M445" s="141"/>
      <c r="N445" s="141"/>
      <c r="O445" s="141"/>
      <c r="P445" s="141"/>
      <c r="Q445" s="171"/>
      <c r="R445" s="162"/>
      <c r="S445" s="171"/>
      <c r="T445" s="171"/>
      <c r="U445" s="228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162"/>
      <c r="AI445" s="141"/>
      <c r="AJ445" s="141"/>
    </row>
    <row r="446" spans="1:38" s="126" customFormat="1" ht="45.75" hidden="1" customHeight="1" x14ac:dyDescent="0.45">
      <c r="A446" s="163">
        <v>1</v>
      </c>
      <c r="B446" s="19">
        <v>1</v>
      </c>
      <c r="C446" s="203" t="s">
        <v>333</v>
      </c>
      <c r="D446" s="19" t="s">
        <v>381</v>
      </c>
      <c r="E446" s="146" t="s">
        <v>382</v>
      </c>
      <c r="F446" s="19" t="s">
        <v>383</v>
      </c>
      <c r="G446" s="19">
        <v>1966</v>
      </c>
      <c r="H446" s="19">
        <v>5</v>
      </c>
      <c r="I446" s="19">
        <v>4</v>
      </c>
      <c r="J446" s="23">
        <v>2730.5</v>
      </c>
      <c r="K446" s="23"/>
      <c r="L446" s="23"/>
      <c r="M446" s="19">
        <v>126</v>
      </c>
      <c r="N446" s="19" t="s">
        <v>365</v>
      </c>
      <c r="O446" s="14" t="s">
        <v>366</v>
      </c>
      <c r="P446" s="19"/>
      <c r="Q446" s="28"/>
      <c r="R446" s="194">
        <v>2377151.2400000002</v>
      </c>
      <c r="S446" s="28"/>
      <c r="T446" s="28"/>
      <c r="U446" s="68"/>
      <c r="V446" s="28"/>
      <c r="W446" s="28"/>
      <c r="X446" s="28"/>
      <c r="Y446" s="28"/>
      <c r="Z446" s="28"/>
      <c r="AA446" s="28"/>
      <c r="AB446" s="28"/>
      <c r="AC446" s="197">
        <v>124000</v>
      </c>
      <c r="AD446" s="28">
        <f t="shared" si="112"/>
        <v>2501151.2400000002</v>
      </c>
      <c r="AE446" s="28"/>
      <c r="AF446" s="28"/>
      <c r="AG446" s="28"/>
      <c r="AH446" s="37"/>
      <c r="AI446" s="19">
        <v>2022</v>
      </c>
      <c r="AJ446" s="19">
        <v>2022</v>
      </c>
      <c r="AK446" s="130" t="s">
        <v>387</v>
      </c>
    </row>
    <row r="447" spans="1:38" s="127" customFormat="1" ht="15" hidden="1" customHeight="1" x14ac:dyDescent="0.45">
      <c r="A447" s="141"/>
      <c r="B447" s="141"/>
      <c r="C447" s="143"/>
      <c r="D447" s="141"/>
      <c r="E447" s="141"/>
      <c r="F447" s="141"/>
      <c r="G447" s="141"/>
      <c r="H447" s="141"/>
      <c r="I447" s="141"/>
      <c r="J447" s="149"/>
      <c r="K447" s="149"/>
      <c r="L447" s="149"/>
      <c r="M447" s="141"/>
      <c r="N447" s="141"/>
      <c r="O447" s="141"/>
      <c r="P447" s="141"/>
      <c r="Q447" s="171"/>
      <c r="R447" s="162"/>
      <c r="S447" s="171"/>
      <c r="T447" s="171"/>
      <c r="U447" s="228"/>
      <c r="V447" s="171"/>
      <c r="W447" s="171"/>
      <c r="X447" s="171"/>
      <c r="Y447" s="171"/>
      <c r="Z447" s="171"/>
      <c r="AA447" s="171"/>
      <c r="AB447" s="171"/>
      <c r="AC447" s="171"/>
      <c r="AD447" s="171"/>
      <c r="AE447" s="171"/>
      <c r="AF447" s="171"/>
      <c r="AG447" s="171"/>
      <c r="AH447" s="162"/>
      <c r="AI447" s="141"/>
      <c r="AJ447" s="141"/>
    </row>
    <row r="448" spans="1:38" s="126" customFormat="1" ht="45.75" hidden="1" customHeight="1" x14ac:dyDescent="0.45">
      <c r="A448" s="163">
        <v>1</v>
      </c>
      <c r="B448" s="19">
        <v>1</v>
      </c>
      <c r="C448" s="203" t="s">
        <v>334</v>
      </c>
      <c r="D448" s="19" t="s">
        <v>381</v>
      </c>
      <c r="E448" s="146" t="s">
        <v>382</v>
      </c>
      <c r="F448" s="19" t="s">
        <v>383</v>
      </c>
      <c r="G448" s="19">
        <v>1966</v>
      </c>
      <c r="H448" s="19">
        <v>5</v>
      </c>
      <c r="I448" s="19">
        <v>4</v>
      </c>
      <c r="J448" s="23">
        <v>2719.5</v>
      </c>
      <c r="K448" s="23"/>
      <c r="L448" s="23"/>
      <c r="M448" s="19">
        <v>133</v>
      </c>
      <c r="N448" s="19" t="s">
        <v>365</v>
      </c>
      <c r="O448" s="14" t="s">
        <v>366</v>
      </c>
      <c r="P448" s="19"/>
      <c r="Q448" s="28"/>
      <c r="R448" s="194">
        <v>2377151.2400000002</v>
      </c>
      <c r="S448" s="28"/>
      <c r="T448" s="28"/>
      <c r="U448" s="68"/>
      <c r="V448" s="28"/>
      <c r="W448" s="28"/>
      <c r="X448" s="28"/>
      <c r="Y448" s="28"/>
      <c r="Z448" s="28"/>
      <c r="AA448" s="28"/>
      <c r="AB448" s="28"/>
      <c r="AC448" s="197">
        <v>124000</v>
      </c>
      <c r="AD448" s="28">
        <f t="shared" si="112"/>
        <v>2501151.2400000002</v>
      </c>
      <c r="AE448" s="28"/>
      <c r="AF448" s="28"/>
      <c r="AG448" s="28"/>
      <c r="AH448" s="37"/>
      <c r="AI448" s="19">
        <v>2022</v>
      </c>
      <c r="AJ448" s="19">
        <v>2022</v>
      </c>
      <c r="AK448" s="130" t="s">
        <v>387</v>
      </c>
    </row>
    <row r="449" spans="1:37" s="127" customFormat="1" ht="15" hidden="1" customHeight="1" x14ac:dyDescent="0.45">
      <c r="A449" s="141"/>
      <c r="B449" s="141"/>
      <c r="C449" s="143"/>
      <c r="D449" s="141"/>
      <c r="E449" s="141"/>
      <c r="F449" s="141"/>
      <c r="G449" s="141"/>
      <c r="H449" s="141"/>
      <c r="I449" s="141"/>
      <c r="J449" s="149"/>
      <c r="K449" s="149"/>
      <c r="L449" s="149"/>
      <c r="M449" s="141"/>
      <c r="N449" s="141"/>
      <c r="O449" s="141"/>
      <c r="P449" s="141"/>
      <c r="Q449" s="171"/>
      <c r="R449" s="162"/>
      <c r="S449" s="171"/>
      <c r="T449" s="171"/>
      <c r="U449" s="228"/>
      <c r="V449" s="171"/>
      <c r="W449" s="171"/>
      <c r="X449" s="171"/>
      <c r="Y449" s="171"/>
      <c r="Z449" s="171"/>
      <c r="AA449" s="171"/>
      <c r="AB449" s="171"/>
      <c r="AC449" s="171"/>
      <c r="AD449" s="171"/>
      <c r="AE449" s="171"/>
      <c r="AF449" s="171"/>
      <c r="AG449" s="171"/>
      <c r="AH449" s="162"/>
      <c r="AI449" s="141"/>
      <c r="AJ449" s="141"/>
    </row>
    <row r="450" spans="1:37" ht="84.9" hidden="1" customHeight="1" x14ac:dyDescent="0.45">
      <c r="A450" s="163">
        <v>1</v>
      </c>
      <c r="B450" s="19">
        <v>1</v>
      </c>
      <c r="C450" s="221" t="s">
        <v>335</v>
      </c>
      <c r="D450" s="19" t="s">
        <v>381</v>
      </c>
      <c r="E450" s="146" t="s">
        <v>382</v>
      </c>
      <c r="F450" s="19" t="s">
        <v>383</v>
      </c>
      <c r="G450" s="19">
        <v>1977</v>
      </c>
      <c r="H450" s="19">
        <v>9</v>
      </c>
      <c r="I450" s="19">
        <v>1</v>
      </c>
      <c r="J450" s="23">
        <v>2739.44</v>
      </c>
      <c r="K450" s="23">
        <v>2739.44</v>
      </c>
      <c r="L450" s="23">
        <v>2739.44</v>
      </c>
      <c r="M450" s="19">
        <v>105</v>
      </c>
      <c r="N450" s="19" t="s">
        <v>365</v>
      </c>
      <c r="O450" s="14" t="s">
        <v>366</v>
      </c>
      <c r="P450" s="19"/>
      <c r="Q450" s="45"/>
      <c r="R450" s="46"/>
      <c r="S450" s="45"/>
      <c r="T450" s="45"/>
      <c r="U450" s="66"/>
      <c r="V450" s="45"/>
      <c r="W450" s="45"/>
      <c r="X450" s="198">
        <v>1851415.78</v>
      </c>
      <c r="Y450" s="157"/>
      <c r="Z450" s="45"/>
      <c r="AA450" s="45"/>
      <c r="AB450" s="157"/>
      <c r="AC450" s="198">
        <v>75945.039999999994</v>
      </c>
      <c r="AD450" s="157">
        <f t="shared" ref="AD450:AD454" si="113">X450+AC450</f>
        <v>1927360.82</v>
      </c>
      <c r="AE450" s="157"/>
      <c r="AF450" s="157"/>
      <c r="AG450" s="157">
        <f t="shared" ref="AG450:AG454" si="114">AD450</f>
        <v>1927360.82</v>
      </c>
      <c r="AH450" s="159"/>
      <c r="AI450" s="19">
        <v>2022</v>
      </c>
      <c r="AJ450" s="19">
        <v>2022</v>
      </c>
      <c r="AK450" s="130" t="s">
        <v>393</v>
      </c>
    </row>
    <row r="451" spans="1:37" s="124" customFormat="1" ht="15" hidden="1" customHeight="1" x14ac:dyDescent="0.45">
      <c r="A451" s="140"/>
      <c r="B451" s="218"/>
      <c r="C451" s="222"/>
      <c r="D451" s="223"/>
      <c r="E451" s="218"/>
      <c r="F451" s="223"/>
      <c r="G451" s="223"/>
      <c r="H451" s="223"/>
      <c r="I451" s="223"/>
      <c r="J451" s="224"/>
      <c r="K451" s="224"/>
      <c r="L451" s="224"/>
      <c r="M451" s="223"/>
      <c r="N451" s="225"/>
      <c r="O451" s="223"/>
      <c r="P451" s="223"/>
      <c r="Q451" s="208">
        <v>916613.65</v>
      </c>
      <c r="R451" s="209">
        <v>6156042.6200000001</v>
      </c>
      <c r="S451" s="208">
        <v>1185541.7</v>
      </c>
      <c r="T451" s="208">
        <v>1260422.95</v>
      </c>
      <c r="U451" s="227">
        <v>1215410.51</v>
      </c>
      <c r="V451" s="208">
        <v>1288128.19</v>
      </c>
      <c r="W451" s="208"/>
      <c r="X451" s="208"/>
      <c r="Y451" s="208"/>
      <c r="Z451" s="208"/>
      <c r="AA451" s="208"/>
      <c r="AB451" s="208"/>
      <c r="AC451" s="208">
        <v>679427.78</v>
      </c>
      <c r="AD451" s="171">
        <v>12701587.4</v>
      </c>
      <c r="AE451" s="171"/>
      <c r="AF451" s="171"/>
      <c r="AG451" s="171">
        <v>12701587.4</v>
      </c>
      <c r="AH451" s="209"/>
      <c r="AI451" s="200"/>
      <c r="AJ451" s="200"/>
    </row>
    <row r="452" spans="1:37" ht="84.9" hidden="1" customHeight="1" x14ac:dyDescent="0.45">
      <c r="A452" s="163">
        <v>1</v>
      </c>
      <c r="B452" s="19">
        <v>1</v>
      </c>
      <c r="C452" s="221" t="s">
        <v>336</v>
      </c>
      <c r="D452" s="19" t="s">
        <v>381</v>
      </c>
      <c r="E452" s="146" t="s">
        <v>382</v>
      </c>
      <c r="F452" s="19" t="s">
        <v>383</v>
      </c>
      <c r="G452" s="19">
        <v>1977</v>
      </c>
      <c r="H452" s="19">
        <v>9</v>
      </c>
      <c r="I452" s="19">
        <v>2</v>
      </c>
      <c r="J452" s="23">
        <v>4529.1000000000004</v>
      </c>
      <c r="K452" s="23">
        <v>4529.1000000000004</v>
      </c>
      <c r="L452" s="23">
        <v>4529.1000000000004</v>
      </c>
      <c r="M452" s="19">
        <v>166</v>
      </c>
      <c r="N452" s="19" t="s">
        <v>365</v>
      </c>
      <c r="O452" s="14" t="s">
        <v>366</v>
      </c>
      <c r="P452" s="19"/>
      <c r="Q452" s="45"/>
      <c r="R452" s="46"/>
      <c r="S452" s="45"/>
      <c r="T452" s="45"/>
      <c r="U452" s="66"/>
      <c r="V452" s="45"/>
      <c r="W452" s="45"/>
      <c r="X452" s="198">
        <v>3702831.57</v>
      </c>
      <c r="Y452" s="157"/>
      <c r="Z452" s="45"/>
      <c r="AA452" s="45"/>
      <c r="AB452" s="157"/>
      <c r="AC452" s="198">
        <v>151890.07999999999</v>
      </c>
      <c r="AD452" s="157">
        <f t="shared" si="113"/>
        <v>3854721.65</v>
      </c>
      <c r="AE452" s="157"/>
      <c r="AF452" s="157"/>
      <c r="AG452" s="157">
        <f t="shared" si="114"/>
        <v>3854721.65</v>
      </c>
      <c r="AH452" s="159"/>
      <c r="AI452" s="19">
        <v>2022</v>
      </c>
      <c r="AJ452" s="19">
        <v>2022</v>
      </c>
      <c r="AK452" s="130" t="s">
        <v>393</v>
      </c>
    </row>
    <row r="453" spans="1:37" s="124" customFormat="1" ht="15" hidden="1" customHeight="1" x14ac:dyDescent="0.45">
      <c r="A453" s="140"/>
      <c r="B453" s="218"/>
      <c r="C453" s="222"/>
      <c r="D453" s="223"/>
      <c r="E453" s="218"/>
      <c r="F453" s="223"/>
      <c r="G453" s="223"/>
      <c r="H453" s="223"/>
      <c r="I453" s="223"/>
      <c r="J453" s="224"/>
      <c r="K453" s="224"/>
      <c r="L453" s="224"/>
      <c r="M453" s="223"/>
      <c r="N453" s="225"/>
      <c r="O453" s="223"/>
      <c r="P453" s="223"/>
      <c r="Q453" s="208">
        <v>916613.65</v>
      </c>
      <c r="R453" s="209">
        <v>6156042.6200000001</v>
      </c>
      <c r="S453" s="208">
        <v>1185541.7</v>
      </c>
      <c r="T453" s="208">
        <v>1260422.95</v>
      </c>
      <c r="U453" s="227">
        <v>1215410.51</v>
      </c>
      <c r="V453" s="208">
        <v>1288128.19</v>
      </c>
      <c r="W453" s="208"/>
      <c r="X453" s="208"/>
      <c r="Y453" s="208"/>
      <c r="Z453" s="208"/>
      <c r="AA453" s="208"/>
      <c r="AB453" s="208"/>
      <c r="AC453" s="208">
        <v>679427.78</v>
      </c>
      <c r="AD453" s="171">
        <v>12701587.4</v>
      </c>
      <c r="AE453" s="171"/>
      <c r="AF453" s="171"/>
      <c r="AG453" s="171">
        <v>12701587.4</v>
      </c>
      <c r="AH453" s="209"/>
      <c r="AI453" s="200"/>
      <c r="AJ453" s="200"/>
    </row>
    <row r="454" spans="1:37" ht="84.9" hidden="1" customHeight="1" x14ac:dyDescent="0.45">
      <c r="A454" s="163">
        <v>1</v>
      </c>
      <c r="B454" s="19">
        <v>1</v>
      </c>
      <c r="C454" s="221" t="s">
        <v>337</v>
      </c>
      <c r="D454" s="19" t="s">
        <v>381</v>
      </c>
      <c r="E454" s="146" t="s">
        <v>382</v>
      </c>
      <c r="F454" s="19" t="s">
        <v>383</v>
      </c>
      <c r="G454" s="19">
        <v>1976</v>
      </c>
      <c r="H454" s="19">
        <v>9</v>
      </c>
      <c r="I454" s="19">
        <v>4</v>
      </c>
      <c r="J454" s="23">
        <v>8913</v>
      </c>
      <c r="K454" s="23">
        <v>8913</v>
      </c>
      <c r="L454" s="23">
        <v>8913</v>
      </c>
      <c r="M454" s="19">
        <v>331</v>
      </c>
      <c r="N454" s="19" t="s">
        <v>365</v>
      </c>
      <c r="O454" s="14" t="s">
        <v>366</v>
      </c>
      <c r="P454" s="19"/>
      <c r="Q454" s="45"/>
      <c r="R454" s="46"/>
      <c r="S454" s="45"/>
      <c r="T454" s="45"/>
      <c r="U454" s="66"/>
      <c r="V454" s="45"/>
      <c r="W454" s="45"/>
      <c r="X454" s="198">
        <v>7405663.1399999997</v>
      </c>
      <c r="Y454" s="157"/>
      <c r="Z454" s="45"/>
      <c r="AA454" s="45"/>
      <c r="AB454" s="157"/>
      <c r="AC454" s="198">
        <v>303780.15999999997</v>
      </c>
      <c r="AD454" s="157">
        <f t="shared" si="113"/>
        <v>7709443.2999999998</v>
      </c>
      <c r="AE454" s="157"/>
      <c r="AF454" s="157"/>
      <c r="AG454" s="157">
        <f t="shared" si="114"/>
        <v>7709443.2999999998</v>
      </c>
      <c r="AH454" s="159"/>
      <c r="AI454" s="19">
        <v>2022</v>
      </c>
      <c r="AJ454" s="19">
        <v>2022</v>
      </c>
      <c r="AK454" s="130" t="s">
        <v>393</v>
      </c>
    </row>
    <row r="455" spans="1:37" s="124" customFormat="1" ht="15" hidden="1" customHeight="1" x14ac:dyDescent="0.45">
      <c r="A455" s="140"/>
      <c r="B455" s="218"/>
      <c r="C455" s="222"/>
      <c r="D455" s="223"/>
      <c r="E455" s="218"/>
      <c r="F455" s="223"/>
      <c r="G455" s="223"/>
      <c r="H455" s="223"/>
      <c r="I455" s="223"/>
      <c r="J455" s="224"/>
      <c r="K455" s="224"/>
      <c r="L455" s="224"/>
      <c r="M455" s="223"/>
      <c r="N455" s="225"/>
      <c r="O455" s="223"/>
      <c r="P455" s="223"/>
      <c r="Q455" s="208">
        <v>916613.65</v>
      </c>
      <c r="R455" s="209">
        <v>6156042.6200000001</v>
      </c>
      <c r="S455" s="208">
        <v>1185541.7</v>
      </c>
      <c r="T455" s="208">
        <v>1260422.95</v>
      </c>
      <c r="U455" s="227">
        <v>1215410.51</v>
      </c>
      <c r="V455" s="208">
        <v>1288128.19</v>
      </c>
      <c r="W455" s="208"/>
      <c r="X455" s="208"/>
      <c r="Y455" s="208"/>
      <c r="Z455" s="208"/>
      <c r="AA455" s="208"/>
      <c r="AB455" s="208"/>
      <c r="AC455" s="208">
        <v>679427.78</v>
      </c>
      <c r="AD455" s="171">
        <v>12701587.4</v>
      </c>
      <c r="AE455" s="171"/>
      <c r="AF455" s="171"/>
      <c r="AG455" s="171">
        <v>12701587.4</v>
      </c>
      <c r="AH455" s="209"/>
      <c r="AI455" s="200"/>
      <c r="AJ455" s="200"/>
    </row>
    <row r="456" spans="1:37" ht="84.9" hidden="1" customHeight="1" x14ac:dyDescent="0.45">
      <c r="A456" s="163">
        <v>1</v>
      </c>
      <c r="B456" s="19">
        <v>1</v>
      </c>
      <c r="C456" s="221" t="s">
        <v>338</v>
      </c>
      <c r="D456" s="19" t="s">
        <v>381</v>
      </c>
      <c r="E456" s="146" t="s">
        <v>382</v>
      </c>
      <c r="F456" s="19" t="s">
        <v>383</v>
      </c>
      <c r="G456" s="19">
        <v>1976</v>
      </c>
      <c r="H456" s="19">
        <v>9</v>
      </c>
      <c r="I456" s="19">
        <v>6</v>
      </c>
      <c r="J456" s="23">
        <v>3099.1</v>
      </c>
      <c r="K456" s="23">
        <v>13691.3</v>
      </c>
      <c r="L456" s="23">
        <v>13691.3</v>
      </c>
      <c r="M456" s="19">
        <v>524</v>
      </c>
      <c r="N456" s="19" t="s">
        <v>365</v>
      </c>
      <c r="O456" s="14" t="s">
        <v>366</v>
      </c>
      <c r="P456" s="19"/>
      <c r="Q456" s="45"/>
      <c r="R456" s="46"/>
      <c r="S456" s="45"/>
      <c r="T456" s="45"/>
      <c r="U456" s="66"/>
      <c r="V456" s="45"/>
      <c r="W456" s="45"/>
      <c r="X456" s="198">
        <v>9257078.9199999999</v>
      </c>
      <c r="Y456" s="157"/>
      <c r="Z456" s="45"/>
      <c r="AA456" s="45"/>
      <c r="AB456" s="157"/>
      <c r="AC456" s="198">
        <v>379725.2</v>
      </c>
      <c r="AD456" s="157">
        <f>X456+AC456</f>
        <v>9636804.1199999992</v>
      </c>
      <c r="AE456" s="157"/>
      <c r="AF456" s="157"/>
      <c r="AG456" s="157">
        <f>AD456</f>
        <v>9636804.1199999992</v>
      </c>
      <c r="AH456" s="159"/>
      <c r="AI456" s="19">
        <v>2022</v>
      </c>
      <c r="AJ456" s="19">
        <v>2022</v>
      </c>
      <c r="AK456" s="130" t="s">
        <v>393</v>
      </c>
    </row>
    <row r="457" spans="1:37" s="124" customFormat="1" ht="15" hidden="1" customHeight="1" x14ac:dyDescent="0.45">
      <c r="A457" s="140"/>
      <c r="B457" s="218"/>
      <c r="C457" s="222"/>
      <c r="D457" s="223"/>
      <c r="E457" s="218"/>
      <c r="F457" s="223"/>
      <c r="G457" s="223"/>
      <c r="H457" s="223"/>
      <c r="I457" s="223"/>
      <c r="J457" s="224"/>
      <c r="K457" s="224"/>
      <c r="L457" s="224"/>
      <c r="M457" s="223"/>
      <c r="N457" s="225"/>
      <c r="O457" s="223"/>
      <c r="P457" s="223"/>
      <c r="Q457" s="208">
        <v>916613.65</v>
      </c>
      <c r="R457" s="209">
        <v>6156042.6200000001</v>
      </c>
      <c r="S457" s="208">
        <v>1185541.7</v>
      </c>
      <c r="T457" s="208">
        <v>1260422.95</v>
      </c>
      <c r="U457" s="227">
        <v>1215410.51</v>
      </c>
      <c r="V457" s="208">
        <v>1288128.19</v>
      </c>
      <c r="W457" s="208"/>
      <c r="X457" s="208"/>
      <c r="Y457" s="208"/>
      <c r="Z457" s="208"/>
      <c r="AA457" s="208"/>
      <c r="AB457" s="208"/>
      <c r="AC457" s="208">
        <v>679427.78</v>
      </c>
      <c r="AD457" s="171">
        <v>12701587.4</v>
      </c>
      <c r="AE457" s="171"/>
      <c r="AF457" s="171"/>
      <c r="AG457" s="171">
        <v>12701587.4</v>
      </c>
      <c r="AH457" s="209"/>
      <c r="AI457" s="200"/>
      <c r="AJ457" s="200"/>
    </row>
    <row r="458" spans="1:37" ht="84.9" hidden="1" customHeight="1" x14ac:dyDescent="0.45">
      <c r="A458" s="163">
        <v>1</v>
      </c>
      <c r="B458" s="19">
        <v>1</v>
      </c>
      <c r="C458" s="221" t="s">
        <v>339</v>
      </c>
      <c r="D458" s="19" t="s">
        <v>381</v>
      </c>
      <c r="E458" s="146" t="s">
        <v>382</v>
      </c>
      <c r="F458" s="19" t="s">
        <v>383</v>
      </c>
      <c r="G458" s="19">
        <v>1977</v>
      </c>
      <c r="H458" s="19">
        <v>9</v>
      </c>
      <c r="I458" s="19">
        <v>1</v>
      </c>
      <c r="J458" s="23">
        <v>1855</v>
      </c>
      <c r="K458" s="23">
        <v>1855</v>
      </c>
      <c r="L458" s="23">
        <v>1855</v>
      </c>
      <c r="M458" s="19">
        <v>75</v>
      </c>
      <c r="N458" s="19" t="s">
        <v>365</v>
      </c>
      <c r="O458" s="14" t="s">
        <v>366</v>
      </c>
      <c r="P458" s="19"/>
      <c r="Q458" s="45"/>
      <c r="R458" s="46"/>
      <c r="S458" s="45"/>
      <c r="T458" s="45"/>
      <c r="U458" s="66"/>
      <c r="V458" s="45"/>
      <c r="W458" s="45"/>
      <c r="X458" s="160">
        <v>1851415.78</v>
      </c>
      <c r="Y458" s="157"/>
      <c r="Z458" s="45"/>
      <c r="AA458" s="45"/>
      <c r="AB458" s="157"/>
      <c r="AC458" s="198">
        <v>75945.039999999994</v>
      </c>
      <c r="AD458" s="157">
        <f>X458+AC458</f>
        <v>1927360.82</v>
      </c>
      <c r="AE458" s="157"/>
      <c r="AF458" s="157"/>
      <c r="AG458" s="157">
        <f>AD458</f>
        <v>1927360.82</v>
      </c>
      <c r="AH458" s="159"/>
      <c r="AI458" s="19">
        <v>2022</v>
      </c>
      <c r="AJ458" s="19">
        <v>2022</v>
      </c>
      <c r="AK458" s="130" t="s">
        <v>393</v>
      </c>
    </row>
    <row r="459" spans="1:37" s="124" customFormat="1" ht="15" hidden="1" customHeight="1" x14ac:dyDescent="0.45">
      <c r="A459" s="140"/>
      <c r="B459" s="218"/>
      <c r="C459" s="222"/>
      <c r="D459" s="223"/>
      <c r="E459" s="218"/>
      <c r="F459" s="223"/>
      <c r="G459" s="223"/>
      <c r="H459" s="223"/>
      <c r="I459" s="223"/>
      <c r="J459" s="224"/>
      <c r="K459" s="224"/>
      <c r="L459" s="224"/>
      <c r="M459" s="223"/>
      <c r="N459" s="225"/>
      <c r="O459" s="223"/>
      <c r="P459" s="223"/>
      <c r="Q459" s="208">
        <v>916613.65</v>
      </c>
      <c r="R459" s="209">
        <v>6156042.6200000001</v>
      </c>
      <c r="S459" s="208">
        <v>1185541.7</v>
      </c>
      <c r="T459" s="208">
        <v>1260422.95</v>
      </c>
      <c r="U459" s="227">
        <v>1215410.51</v>
      </c>
      <c r="V459" s="208">
        <v>1288128.19</v>
      </c>
      <c r="W459" s="208"/>
      <c r="X459" s="208"/>
      <c r="Y459" s="208"/>
      <c r="Z459" s="208"/>
      <c r="AA459" s="208"/>
      <c r="AB459" s="208"/>
      <c r="AC459" s="208">
        <v>679427.78</v>
      </c>
      <c r="AD459" s="171">
        <v>12701587.4</v>
      </c>
      <c r="AE459" s="171"/>
      <c r="AF459" s="171"/>
      <c r="AG459" s="171">
        <v>12701587.4</v>
      </c>
      <c r="AH459" s="209"/>
      <c r="AI459" s="200"/>
      <c r="AJ459" s="200"/>
    </row>
    <row r="460" spans="1:37" ht="84.9" hidden="1" customHeight="1" x14ac:dyDescent="0.45">
      <c r="B460" s="352" t="s">
        <v>544</v>
      </c>
      <c r="C460" s="353"/>
      <c r="D460" s="353"/>
      <c r="E460" s="353"/>
      <c r="F460" s="353"/>
      <c r="G460" s="353"/>
      <c r="H460" s="353"/>
      <c r="I460" s="353"/>
      <c r="J460" s="353"/>
      <c r="K460" s="353"/>
      <c r="L460" s="353"/>
      <c r="M460" s="353"/>
      <c r="N460" s="353"/>
      <c r="O460" s="353"/>
      <c r="P460" s="354"/>
      <c r="Q460" s="28">
        <f t="shared" ref="Q460:AG460" si="115">Q7+Q9+Q11+Q13+Q15+Q71+Q85+Q129+Q166+Q168+Q204+Q206+Q240+Q248+Q250+Q290+Q292+Q294+Q296+Q298+Q300+Q302+Q306+Q308+Q310+Q312+Q320+Q322+Q332+Q334+Q336+Q338+Q350+Q364+Q366+Q368+Q372+Q374+Q376+Q378+Q380+Q382+Q384+Q430+Q432+Q434</f>
        <v>5984052.9800000004</v>
      </c>
      <c r="R460" s="28">
        <f t="shared" si="115"/>
        <v>68389792.800000012</v>
      </c>
      <c r="S460" s="28">
        <f t="shared" si="115"/>
        <v>10261851.780000001</v>
      </c>
      <c r="T460" s="28">
        <f t="shared" si="115"/>
        <v>10384252.469999999</v>
      </c>
      <c r="U460" s="28">
        <f t="shared" si="115"/>
        <v>3646231.5300000003</v>
      </c>
      <c r="V460" s="28">
        <f t="shared" si="115"/>
        <v>15573902.879999999</v>
      </c>
      <c r="W460" s="28">
        <f t="shared" si="115"/>
        <v>1787495.94</v>
      </c>
      <c r="X460" s="28">
        <f t="shared" si="115"/>
        <v>0</v>
      </c>
      <c r="Y460" s="28">
        <f t="shared" si="115"/>
        <v>448311334.70999992</v>
      </c>
      <c r="Z460" s="28">
        <f t="shared" si="115"/>
        <v>15386482.167020001</v>
      </c>
      <c r="AA460" s="28">
        <f t="shared" si="115"/>
        <v>112881042.27</v>
      </c>
      <c r="AB460" s="28">
        <f t="shared" si="115"/>
        <v>14186414.35</v>
      </c>
      <c r="AC460" s="28">
        <f t="shared" si="115"/>
        <v>32970530.499999996</v>
      </c>
      <c r="AD460" s="28">
        <f t="shared" si="115"/>
        <v>739763384.37702012</v>
      </c>
      <c r="AE460" s="28">
        <f t="shared" si="115"/>
        <v>43241608.210000001</v>
      </c>
      <c r="AF460" s="28">
        <f t="shared" si="115"/>
        <v>0</v>
      </c>
      <c r="AG460" s="28">
        <f t="shared" si="115"/>
        <v>696521776.16702008</v>
      </c>
      <c r="AH460" s="28"/>
      <c r="AI460" s="72"/>
      <c r="AJ460" s="72"/>
    </row>
    <row r="461" spans="1:37" ht="128.25" hidden="1" customHeight="1" x14ac:dyDescent="0.6">
      <c r="B461" s="348" t="s">
        <v>545</v>
      </c>
      <c r="C461" s="348"/>
      <c r="D461" s="348"/>
      <c r="E461" s="348"/>
      <c r="F461" s="348"/>
      <c r="G461" s="348"/>
      <c r="H461" s="348"/>
      <c r="I461" s="348"/>
      <c r="J461" s="348"/>
      <c r="K461" s="348"/>
      <c r="L461" s="348"/>
      <c r="M461" s="348"/>
      <c r="N461" s="348"/>
      <c r="O461" s="348"/>
      <c r="P461" s="348"/>
      <c r="Q461" s="348"/>
      <c r="R461" s="348"/>
      <c r="S461" s="349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73"/>
      <c r="AJ461" s="73"/>
    </row>
    <row r="462" spans="1:37" ht="20.100000000000001" hidden="1" customHeight="1" x14ac:dyDescent="0.45">
      <c r="B462" s="13"/>
      <c r="C462" s="229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53"/>
      <c r="R462" s="28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73"/>
      <c r="AJ462" s="73"/>
    </row>
    <row r="463" spans="1:37" ht="20.100000000000001" hidden="1" customHeight="1" x14ac:dyDescent="0.45">
      <c r="B463" s="13"/>
      <c r="C463" s="229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53"/>
      <c r="R463" s="28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73"/>
      <c r="AJ463" s="73"/>
    </row>
    <row r="464" spans="1:37" ht="20.100000000000001" hidden="1" customHeight="1" x14ac:dyDescent="0.45">
      <c r="B464" s="13"/>
      <c r="C464" s="229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53"/>
      <c r="R464" s="28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73"/>
      <c r="AJ464" s="73"/>
    </row>
    <row r="465" spans="1:37" ht="20.100000000000001" hidden="1" customHeight="1" x14ac:dyDescent="0.45">
      <c r="B465" s="13"/>
      <c r="C465" s="229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53"/>
      <c r="R465" s="28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73"/>
      <c r="AJ465" s="73"/>
    </row>
    <row r="466" spans="1:37" ht="20.100000000000001" hidden="1" customHeight="1" x14ac:dyDescent="0.45">
      <c r="B466" s="13"/>
      <c r="C466" s="229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53"/>
      <c r="R466" s="28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73"/>
      <c r="AJ466" s="73"/>
    </row>
    <row r="467" spans="1:37" ht="20.100000000000001" hidden="1" customHeight="1" x14ac:dyDescent="0.45">
      <c r="B467" s="13"/>
      <c r="C467" s="229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53"/>
      <c r="R467" s="28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73"/>
      <c r="AJ467" s="73"/>
    </row>
    <row r="468" spans="1:37" ht="20.100000000000001" hidden="1" customHeight="1" x14ac:dyDescent="0.45">
      <c r="B468" s="13"/>
      <c r="C468" s="229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53"/>
      <c r="R468" s="28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73"/>
      <c r="AJ468" s="73"/>
    </row>
    <row r="469" spans="1:37" s="128" customFormat="1" ht="66" hidden="1" customHeight="1" x14ac:dyDescent="1.35">
      <c r="A469" s="133"/>
      <c r="B469" s="48" t="s">
        <v>546</v>
      </c>
      <c r="C469" s="230"/>
      <c r="D469" s="48"/>
      <c r="E469" s="48"/>
      <c r="F469" s="48"/>
      <c r="G469" s="48"/>
      <c r="H469" s="48"/>
      <c r="I469" s="48"/>
      <c r="J469" s="49"/>
      <c r="K469" s="48"/>
      <c r="L469" s="49"/>
      <c r="M469" s="48"/>
      <c r="N469" s="54"/>
      <c r="O469" s="232"/>
      <c r="P469" s="48"/>
      <c r="Q469" s="55"/>
      <c r="R469" s="28"/>
      <c r="S469" s="55"/>
      <c r="T469" s="55"/>
      <c r="U469" s="55"/>
      <c r="V469" s="55"/>
      <c r="W469" s="55"/>
      <c r="X469" s="69"/>
      <c r="Y469" s="55"/>
      <c r="Z469" s="55"/>
      <c r="AA469" s="55"/>
      <c r="AB469" s="55"/>
      <c r="AC469" s="55"/>
      <c r="AD469" s="55"/>
      <c r="AE469" s="55"/>
      <c r="AF469" s="55"/>
      <c r="AG469" s="55"/>
      <c r="AH469" s="48"/>
      <c r="AI469" s="48"/>
      <c r="AJ469" s="48"/>
    </row>
    <row r="470" spans="1:37" s="128" customFormat="1" ht="56.85" hidden="1" customHeight="1" x14ac:dyDescent="1.35">
      <c r="A470" s="133"/>
      <c r="B470" s="350" t="s">
        <v>547</v>
      </c>
      <c r="C470" s="350"/>
      <c r="D470" s="350"/>
      <c r="E470" s="350"/>
      <c r="F470" s="350"/>
      <c r="G470" s="350"/>
      <c r="H470" s="350"/>
      <c r="I470" s="350"/>
      <c r="J470" s="350"/>
      <c r="K470" s="48"/>
      <c r="L470" s="49"/>
      <c r="N470" s="233"/>
      <c r="O470" s="234"/>
      <c r="Q470" s="242"/>
      <c r="R470" s="243"/>
      <c r="S470" s="242"/>
      <c r="T470" s="242"/>
      <c r="U470" s="242"/>
      <c r="V470" s="242"/>
      <c r="W470" s="242"/>
      <c r="X470" s="244"/>
      <c r="Y470" s="242"/>
      <c r="Z470" s="242"/>
      <c r="AA470" s="242"/>
      <c r="AB470" s="242"/>
      <c r="AC470" s="55"/>
      <c r="AD470" s="55"/>
      <c r="AE470" s="55"/>
      <c r="AF470" s="55"/>
      <c r="AG470" s="55"/>
      <c r="AH470" s="48"/>
      <c r="AI470" s="48"/>
      <c r="AJ470" s="48"/>
    </row>
    <row r="471" spans="1:37" s="128" customFormat="1" ht="56.85" hidden="1" customHeight="1" x14ac:dyDescent="1.35">
      <c r="A471" s="133"/>
      <c r="B471" s="48" t="s">
        <v>548</v>
      </c>
      <c r="C471" s="230"/>
      <c r="D471" s="48"/>
      <c r="E471" s="48"/>
      <c r="F471" s="48"/>
      <c r="G471" s="48"/>
      <c r="H471" s="48"/>
      <c r="I471" s="48"/>
      <c r="J471" s="48"/>
      <c r="K471" s="48"/>
      <c r="L471" s="49"/>
      <c r="M471" s="48"/>
      <c r="N471" s="48"/>
      <c r="O471" s="232"/>
      <c r="P471" s="48"/>
      <c r="Q471" s="55"/>
      <c r="R471" s="245"/>
      <c r="S471" s="55"/>
      <c r="T471" s="55"/>
      <c r="U471" s="55"/>
      <c r="V471" s="242"/>
      <c r="W471" s="242"/>
      <c r="X471" s="244"/>
      <c r="Y471" s="242"/>
      <c r="Z471" s="242"/>
      <c r="AA471" s="242"/>
      <c r="AB471" s="242"/>
      <c r="AC471" s="55"/>
      <c r="AD471" s="55"/>
      <c r="AE471" s="55"/>
      <c r="AF471" s="55"/>
      <c r="AG471" s="55"/>
      <c r="AH471" s="48"/>
      <c r="AI471" s="48"/>
      <c r="AJ471" s="48"/>
    </row>
    <row r="472" spans="1:37" s="128" customFormat="1" ht="56.85" hidden="1" customHeight="1" x14ac:dyDescent="1.35">
      <c r="A472" s="133"/>
      <c r="B472" s="48" t="s">
        <v>549</v>
      </c>
      <c r="C472" s="230"/>
      <c r="D472" s="48"/>
      <c r="E472" s="48"/>
      <c r="F472" s="48"/>
      <c r="G472" s="48"/>
      <c r="H472" s="48"/>
      <c r="I472" s="48"/>
      <c r="J472" s="48"/>
      <c r="K472" s="48"/>
      <c r="L472" s="49"/>
      <c r="M472" s="48"/>
      <c r="N472" s="48"/>
      <c r="O472" s="232"/>
      <c r="P472" s="48"/>
      <c r="Q472" s="55"/>
      <c r="R472" s="245"/>
      <c r="S472" s="55"/>
      <c r="T472" s="55"/>
      <c r="U472" s="55"/>
      <c r="V472" s="242"/>
      <c r="W472" s="242"/>
      <c r="X472" s="244"/>
      <c r="Y472" s="242"/>
      <c r="Z472" s="242"/>
      <c r="AA472" s="242"/>
      <c r="AB472" s="242"/>
      <c r="AC472" s="55"/>
      <c r="AD472" s="55"/>
      <c r="AE472" s="55"/>
      <c r="AF472" s="55"/>
      <c r="AG472" s="55"/>
      <c r="AH472" s="48"/>
      <c r="AI472" s="48"/>
      <c r="AJ472" s="48"/>
    </row>
    <row r="473" spans="1:37" s="128" customFormat="1" ht="56.85" hidden="1" customHeight="1" x14ac:dyDescent="1.35">
      <c r="A473" s="133"/>
      <c r="B473" s="4" t="s">
        <v>550</v>
      </c>
      <c r="C473" s="231"/>
      <c r="D473" s="4"/>
      <c r="E473" s="4"/>
      <c r="F473" s="4"/>
      <c r="G473" s="4"/>
      <c r="H473" s="4"/>
      <c r="I473" s="4"/>
      <c r="J473" s="4"/>
      <c r="K473" s="4"/>
      <c r="L473" s="49"/>
      <c r="N473" s="233"/>
      <c r="O473" s="234"/>
      <c r="Q473" s="242"/>
      <c r="R473" s="243"/>
      <c r="S473" s="242"/>
      <c r="T473" s="242"/>
      <c r="U473" s="242"/>
      <c r="V473" s="242"/>
      <c r="W473" s="242"/>
      <c r="X473" s="244"/>
      <c r="Y473" s="242"/>
      <c r="Z473" s="242"/>
      <c r="AA473" s="242"/>
      <c r="AB473" s="242"/>
      <c r="AC473" s="55"/>
      <c r="AD473" s="55"/>
      <c r="AE473" s="55"/>
      <c r="AF473" s="55"/>
      <c r="AG473" s="55"/>
      <c r="AH473" s="48"/>
      <c r="AI473" s="48"/>
      <c r="AJ473" s="48"/>
    </row>
    <row r="474" spans="1:37" s="128" customFormat="1" ht="56.85" hidden="1" customHeight="1" x14ac:dyDescent="1.35">
      <c r="A474" s="133"/>
      <c r="B474" s="48" t="s">
        <v>551</v>
      </c>
      <c r="C474" s="230"/>
      <c r="D474" s="48"/>
      <c r="E474" s="48"/>
      <c r="F474" s="48"/>
      <c r="G474" s="48"/>
      <c r="H474" s="48"/>
      <c r="I474" s="48"/>
      <c r="J474" s="48"/>
      <c r="K474" s="48"/>
      <c r="L474" s="49"/>
      <c r="M474" s="235"/>
      <c r="N474" s="236"/>
      <c r="O474" s="234"/>
      <c r="P474" s="235"/>
      <c r="Q474" s="246"/>
      <c r="R474" s="247"/>
      <c r="S474" s="246"/>
      <c r="T474" s="246"/>
      <c r="U474" s="246"/>
      <c r="V474" s="246"/>
      <c r="W474" s="246"/>
      <c r="X474" s="244"/>
      <c r="Y474" s="242"/>
      <c r="Z474" s="242"/>
      <c r="AA474" s="242"/>
      <c r="AB474" s="242"/>
      <c r="AC474" s="60"/>
      <c r="AD474" s="60"/>
      <c r="AE474" s="60"/>
      <c r="AF474" s="60"/>
      <c r="AG474" s="60"/>
      <c r="AH474" s="4"/>
      <c r="AI474" s="4"/>
      <c r="AJ474" s="4"/>
    </row>
    <row r="475" spans="1:37" s="128" customFormat="1" ht="56.85" hidden="1" customHeight="1" x14ac:dyDescent="1.35">
      <c r="A475" s="133"/>
      <c r="B475" s="4" t="s">
        <v>552</v>
      </c>
      <c r="C475" s="231"/>
      <c r="D475" s="4"/>
      <c r="E475" s="4"/>
      <c r="F475" s="4"/>
      <c r="G475" s="4"/>
      <c r="H475" s="4"/>
      <c r="I475" s="4"/>
      <c r="J475" s="4"/>
      <c r="K475" s="4"/>
      <c r="L475" s="49"/>
      <c r="M475" s="4"/>
      <c r="N475" s="233"/>
      <c r="O475" s="234"/>
      <c r="Q475" s="242"/>
      <c r="R475" s="243"/>
      <c r="S475" s="242"/>
      <c r="T475" s="242"/>
      <c r="U475" s="242"/>
      <c r="V475" s="242"/>
      <c r="W475" s="242"/>
      <c r="X475" s="244"/>
      <c r="Y475" s="242"/>
      <c r="Z475" s="242"/>
      <c r="AA475" s="242"/>
      <c r="AB475" s="242"/>
      <c r="AC475" s="60"/>
      <c r="AD475" s="60"/>
      <c r="AE475" s="60"/>
      <c r="AF475" s="60"/>
      <c r="AG475" s="60"/>
      <c r="AH475" s="4"/>
      <c r="AI475" s="4"/>
      <c r="AJ475" s="4"/>
    </row>
    <row r="476" spans="1:37" s="128" customFormat="1" ht="56.85" hidden="1" customHeight="1" x14ac:dyDescent="1.35">
      <c r="A476" s="133"/>
      <c r="B476" s="48" t="s">
        <v>553</v>
      </c>
      <c r="C476" s="230"/>
      <c r="D476" s="48"/>
      <c r="E476" s="48"/>
      <c r="F476" s="48"/>
      <c r="G476" s="48"/>
      <c r="H476" s="48"/>
      <c r="I476" s="48"/>
      <c r="J476" s="48"/>
      <c r="K476" s="48"/>
      <c r="L476" s="49"/>
      <c r="M476" s="235"/>
      <c r="N476" s="236"/>
      <c r="O476" s="234"/>
      <c r="P476" s="235"/>
      <c r="Q476" s="246"/>
      <c r="R476" s="247"/>
      <c r="S476" s="246"/>
      <c r="T476" s="246"/>
      <c r="U476" s="246"/>
      <c r="V476" s="246"/>
      <c r="W476" s="246"/>
      <c r="X476" s="244"/>
      <c r="Y476" s="242"/>
      <c r="Z476" s="242"/>
      <c r="AA476" s="242"/>
      <c r="AB476" s="242"/>
      <c r="AC476" s="60"/>
      <c r="AD476" s="60"/>
      <c r="AE476" s="60"/>
      <c r="AF476" s="60"/>
      <c r="AG476" s="60"/>
      <c r="AH476" s="4"/>
      <c r="AI476" s="4"/>
      <c r="AJ476" s="4"/>
    </row>
    <row r="477" spans="1:37" s="128" customFormat="1" ht="56.85" hidden="1" customHeight="1" x14ac:dyDescent="1.35">
      <c r="A477" s="133"/>
      <c r="B477" s="48" t="s">
        <v>554</v>
      </c>
      <c r="C477" s="230"/>
      <c r="D477" s="48"/>
      <c r="E477" s="48"/>
      <c r="F477" s="48"/>
      <c r="G477" s="48"/>
      <c r="H477" s="48"/>
      <c r="I477" s="48"/>
      <c r="J477" s="48"/>
      <c r="K477" s="48"/>
      <c r="L477" s="49"/>
      <c r="M477" s="235"/>
      <c r="N477" s="236"/>
      <c r="O477" s="234"/>
      <c r="P477" s="235"/>
      <c r="Q477" s="246"/>
      <c r="R477" s="247"/>
      <c r="S477" s="246"/>
      <c r="T477" s="246"/>
      <c r="U477" s="246"/>
      <c r="V477" s="246"/>
      <c r="W477" s="246"/>
      <c r="X477" s="244"/>
      <c r="Y477" s="242"/>
      <c r="Z477" s="242"/>
      <c r="AA477" s="242"/>
      <c r="AB477" s="242"/>
      <c r="AC477" s="60"/>
      <c r="AD477" s="60"/>
      <c r="AE477" s="60"/>
      <c r="AF477" s="60"/>
      <c r="AG477" s="60"/>
      <c r="AH477" s="4"/>
      <c r="AI477" s="4"/>
      <c r="AJ477" s="4"/>
    </row>
    <row r="478" spans="1:37" s="4" customFormat="1" ht="56.85" hidden="1" customHeight="1" x14ac:dyDescent="1.25">
      <c r="A478" s="32"/>
      <c r="B478" s="4" t="s">
        <v>555</v>
      </c>
      <c r="C478" s="231"/>
      <c r="R478" s="248"/>
    </row>
    <row r="479" spans="1:37" s="128" customFormat="1" ht="56.85" hidden="1" customHeight="1" x14ac:dyDescent="1.35">
      <c r="A479" s="133"/>
      <c r="B479" s="48" t="s">
        <v>556</v>
      </c>
      <c r="C479" s="230"/>
      <c r="D479" s="48"/>
      <c r="E479" s="48"/>
      <c r="F479" s="48"/>
      <c r="G479" s="48"/>
      <c r="H479" s="48"/>
      <c r="I479" s="48"/>
      <c r="J479" s="48"/>
      <c r="K479" s="48"/>
      <c r="L479" s="49"/>
      <c r="M479" s="235"/>
      <c r="N479" s="236"/>
      <c r="O479" s="234"/>
      <c r="P479" s="235"/>
      <c r="Q479" s="246"/>
      <c r="R479" s="247"/>
      <c r="S479" s="246"/>
      <c r="T479" s="246"/>
      <c r="U479" s="246"/>
      <c r="V479" s="246"/>
      <c r="W479" s="246"/>
      <c r="X479" s="244"/>
      <c r="Y479" s="242"/>
      <c r="Z479" s="242"/>
      <c r="AA479" s="242"/>
      <c r="AB479" s="242"/>
      <c r="AC479" s="60"/>
      <c r="AD479" s="60"/>
      <c r="AE479" s="60"/>
      <c r="AF479" s="60"/>
      <c r="AG479" s="60"/>
      <c r="AH479" s="4"/>
      <c r="AI479" s="4"/>
      <c r="AJ479" s="4"/>
    </row>
    <row r="480" spans="1:37" s="128" customFormat="1" ht="56.85" hidden="1" customHeight="1" x14ac:dyDescent="1.35">
      <c r="A480" s="133"/>
      <c r="B480" s="48" t="s">
        <v>557</v>
      </c>
      <c r="C480" s="230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245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</row>
    <row r="481" spans="1:39" s="128" customFormat="1" ht="56.85" hidden="1" customHeight="1" x14ac:dyDescent="1.35">
      <c r="A481" s="133"/>
      <c r="B481" s="48" t="s">
        <v>558</v>
      </c>
      <c r="C481" s="230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245"/>
      <c r="S481" s="60"/>
      <c r="T481" s="60"/>
      <c r="U481" s="60"/>
      <c r="V481" s="60"/>
      <c r="W481" s="60"/>
      <c r="X481" s="69"/>
      <c r="Y481" s="60"/>
      <c r="Z481" s="60"/>
      <c r="AA481" s="60"/>
      <c r="AB481" s="60"/>
      <c r="AC481" s="60"/>
      <c r="AD481" s="60"/>
      <c r="AE481" s="60"/>
      <c r="AF481" s="60"/>
      <c r="AG481" s="60"/>
      <c r="AH481" s="4"/>
      <c r="AI481" s="4"/>
      <c r="AJ481" s="4"/>
    </row>
    <row r="482" spans="1:39" s="128" customFormat="1" ht="56.85" hidden="1" customHeight="1" x14ac:dyDescent="1.35">
      <c r="A482" s="133"/>
      <c r="B482" s="347" t="s">
        <v>559</v>
      </c>
      <c r="C482" s="347"/>
      <c r="D482" s="347"/>
      <c r="E482" s="347"/>
      <c r="F482" s="347"/>
      <c r="G482" s="347"/>
      <c r="H482" s="347"/>
      <c r="I482" s="347"/>
      <c r="J482" s="347"/>
      <c r="K482" s="347"/>
      <c r="L482" s="347"/>
      <c r="M482" s="347"/>
      <c r="N482" s="347"/>
      <c r="O482" s="347"/>
      <c r="P482" s="347"/>
      <c r="Q482" s="347"/>
      <c r="R482" s="347"/>
      <c r="S482" s="347"/>
      <c r="T482" s="347"/>
      <c r="U482" s="347"/>
      <c r="V482" s="347"/>
      <c r="W482" s="347"/>
      <c r="X482" s="347"/>
      <c r="Y482" s="347"/>
      <c r="Z482" s="347"/>
      <c r="AA482" s="347"/>
      <c r="AB482" s="347"/>
      <c r="AC482" s="347"/>
      <c r="AD482" s="347"/>
      <c r="AE482" s="347"/>
      <c r="AF482" s="347"/>
      <c r="AG482" s="347"/>
      <c r="AH482" s="347"/>
      <c r="AI482" s="347"/>
      <c r="AJ482" s="347"/>
      <c r="AK482" s="347"/>
    </row>
    <row r="483" spans="1:39" s="128" customFormat="1" ht="56.85" hidden="1" customHeight="1" x14ac:dyDescent="1.35">
      <c r="A483" s="133"/>
      <c r="B483" s="347" t="s">
        <v>560</v>
      </c>
      <c r="C483" s="347"/>
      <c r="D483" s="347"/>
      <c r="E483" s="347"/>
      <c r="F483" s="347"/>
      <c r="G483" s="347"/>
      <c r="H483" s="347"/>
      <c r="I483" s="347"/>
      <c r="J483" s="347"/>
      <c r="K483" s="347"/>
      <c r="L483" s="347"/>
      <c r="M483" s="347"/>
      <c r="N483" s="347"/>
      <c r="O483" s="347"/>
      <c r="P483" s="347"/>
      <c r="Q483" s="347"/>
      <c r="R483" s="347"/>
      <c r="S483" s="347"/>
      <c r="T483" s="347"/>
      <c r="U483" s="347"/>
      <c r="V483" s="347"/>
      <c r="W483" s="347"/>
      <c r="X483" s="347"/>
      <c r="Y483" s="347"/>
      <c r="Z483" s="347"/>
      <c r="AA483" s="347"/>
      <c r="AB483" s="347"/>
      <c r="AC483" s="347"/>
      <c r="AD483" s="347"/>
      <c r="AE483" s="347"/>
      <c r="AF483" s="347"/>
      <c r="AG483" s="347"/>
      <c r="AH483" s="347"/>
      <c r="AI483" s="347"/>
      <c r="AJ483" s="347"/>
      <c r="AK483" s="347"/>
    </row>
    <row r="484" spans="1:39" s="128" customFormat="1" ht="53.25" hidden="1" customHeight="1" x14ac:dyDescent="1.35">
      <c r="A484" s="133"/>
      <c r="B484" s="48" t="s">
        <v>561</v>
      </c>
      <c r="C484" s="230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245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</row>
    <row r="485" spans="1:39" s="128" customFormat="1" ht="64.5" hidden="1" customHeight="1" x14ac:dyDescent="1.35">
      <c r="A485" s="133"/>
      <c r="B485" s="48" t="s">
        <v>562</v>
      </c>
      <c r="C485" s="230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245"/>
      <c r="S485" s="60"/>
      <c r="T485" s="60"/>
      <c r="U485" s="60"/>
      <c r="V485" s="60"/>
      <c r="W485" s="60"/>
      <c r="X485" s="69"/>
      <c r="Y485" s="60"/>
      <c r="Z485" s="60"/>
      <c r="AA485" s="60"/>
      <c r="AB485" s="60"/>
      <c r="AC485" s="60"/>
      <c r="AD485" s="60"/>
      <c r="AE485" s="60"/>
      <c r="AF485" s="60"/>
      <c r="AG485" s="60"/>
      <c r="AH485" s="4"/>
      <c r="AI485" s="4"/>
      <c r="AJ485" s="4"/>
      <c r="AL485" s="48"/>
      <c r="AM485" s="48"/>
    </row>
    <row r="486" spans="1:39" s="128" customFormat="1" ht="56.85" hidden="1" customHeight="1" x14ac:dyDescent="1.35">
      <c r="A486" s="133"/>
      <c r="B486" s="347" t="s">
        <v>563</v>
      </c>
      <c r="C486" s="347"/>
      <c r="D486" s="347"/>
      <c r="E486" s="347"/>
      <c r="F486" s="347"/>
      <c r="G486" s="347"/>
      <c r="H486" s="347"/>
      <c r="I486" s="347"/>
      <c r="J486" s="347"/>
      <c r="K486" s="347"/>
      <c r="L486" s="347"/>
      <c r="M486" s="347"/>
      <c r="N486" s="347"/>
      <c r="O486" s="347"/>
      <c r="P486" s="347"/>
      <c r="Q486" s="347"/>
      <c r="R486" s="347"/>
      <c r="S486" s="347"/>
      <c r="T486" s="347"/>
      <c r="U486" s="347"/>
      <c r="V486" s="347"/>
      <c r="W486" s="347"/>
      <c r="X486" s="347"/>
      <c r="Y486" s="347"/>
      <c r="Z486" s="347"/>
      <c r="AA486" s="347"/>
      <c r="AB486" s="347"/>
      <c r="AC486" s="347"/>
      <c r="AD486" s="347"/>
      <c r="AE486" s="347"/>
      <c r="AF486" s="347"/>
      <c r="AG486" s="347"/>
      <c r="AH486" s="347"/>
      <c r="AI486" s="347"/>
      <c r="AJ486" s="347"/>
      <c r="AK486" s="347"/>
      <c r="AL486" s="347"/>
      <c r="AM486" s="347"/>
    </row>
    <row r="487" spans="1:39" s="128" customFormat="1" ht="56.85" hidden="1" customHeight="1" x14ac:dyDescent="1.35">
      <c r="A487" s="133"/>
      <c r="B487" s="347" t="s">
        <v>564</v>
      </c>
      <c r="C487" s="347"/>
      <c r="D487" s="347"/>
      <c r="E487" s="347"/>
      <c r="F487" s="347"/>
      <c r="G487" s="347"/>
      <c r="H487" s="347"/>
      <c r="I487" s="347"/>
      <c r="J487" s="347"/>
      <c r="K487" s="347"/>
      <c r="L487" s="347"/>
      <c r="M487" s="347"/>
      <c r="N487" s="347"/>
      <c r="O487" s="347"/>
      <c r="P487" s="347"/>
      <c r="Q487" s="347"/>
      <c r="R487" s="347"/>
      <c r="S487" s="347"/>
      <c r="T487" s="347"/>
      <c r="U487" s="347"/>
      <c r="V487" s="347"/>
      <c r="W487" s="347"/>
      <c r="X487" s="347"/>
      <c r="Y487" s="347"/>
      <c r="Z487" s="347"/>
      <c r="AA487" s="347"/>
      <c r="AB487" s="347"/>
      <c r="AC487" s="347"/>
      <c r="AD487" s="347"/>
      <c r="AE487" s="347"/>
      <c r="AF487" s="347"/>
      <c r="AG487" s="347"/>
      <c r="AH487" s="347"/>
      <c r="AI487" s="347"/>
      <c r="AJ487" s="347"/>
      <c r="AK487" s="347"/>
      <c r="AL487" s="50"/>
      <c r="AM487" s="50"/>
    </row>
    <row r="488" spans="1:39" s="128" customFormat="1" ht="57.75" hidden="1" customHeight="1" x14ac:dyDescent="1.35">
      <c r="A488" s="133"/>
      <c r="B488" s="48" t="s">
        <v>565</v>
      </c>
      <c r="C488" s="230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245"/>
      <c r="S488" s="60"/>
      <c r="T488" s="60"/>
      <c r="U488" s="60"/>
      <c r="V488" s="60"/>
      <c r="W488" s="60"/>
      <c r="X488" s="69"/>
      <c r="Y488" s="60"/>
      <c r="Z488" s="60"/>
      <c r="AA488" s="60"/>
      <c r="AB488" s="60"/>
      <c r="AC488" s="60"/>
      <c r="AD488" s="60"/>
      <c r="AE488" s="60"/>
      <c r="AF488" s="60"/>
      <c r="AG488" s="60"/>
      <c r="AH488" s="4"/>
      <c r="AI488" s="4"/>
      <c r="AJ488" s="4"/>
      <c r="AL488" s="48"/>
      <c r="AM488" s="48"/>
    </row>
    <row r="489" spans="1:39" s="128" customFormat="1" ht="56.85" customHeight="1" x14ac:dyDescent="1.35">
      <c r="A489" s="133"/>
      <c r="B489" s="51"/>
      <c r="C489" s="230"/>
      <c r="D489" s="48"/>
      <c r="E489" s="48"/>
      <c r="F489" s="48"/>
      <c r="G489" s="48"/>
      <c r="H489" s="48"/>
      <c r="J489" s="237"/>
      <c r="L489" s="237"/>
      <c r="N489" s="233"/>
      <c r="O489" s="234"/>
      <c r="Q489" s="242"/>
      <c r="R489" s="243"/>
      <c r="S489" s="242"/>
      <c r="T489" s="242"/>
      <c r="U489" s="242"/>
      <c r="V489" s="242"/>
      <c r="W489" s="242"/>
      <c r="X489" s="244"/>
      <c r="Y489" s="242"/>
      <c r="Z489" s="242"/>
      <c r="AA489" s="242"/>
      <c r="AB489" s="242"/>
      <c r="AC489" s="242"/>
      <c r="AD489" s="242"/>
      <c r="AE489" s="242"/>
      <c r="AF489" s="242"/>
      <c r="AG489" s="242"/>
    </row>
    <row r="490" spans="1:39" s="128" customFormat="1" ht="56.85" customHeight="1" x14ac:dyDescent="1.35">
      <c r="A490" s="133"/>
      <c r="B490" s="130"/>
      <c r="C490" s="131"/>
      <c r="J490" s="237"/>
      <c r="K490" s="234"/>
      <c r="L490" s="237"/>
      <c r="N490" s="233"/>
      <c r="O490" s="234"/>
      <c r="Q490" s="242"/>
      <c r="R490" s="243"/>
      <c r="S490" s="242"/>
      <c r="T490" s="242"/>
      <c r="U490" s="242"/>
      <c r="V490" s="242"/>
      <c r="W490" s="242"/>
      <c r="X490" s="244"/>
      <c r="Y490" s="242"/>
      <c r="Z490" s="242"/>
      <c r="AA490" s="242"/>
      <c r="AB490" s="242"/>
      <c r="AC490" s="242"/>
      <c r="AD490" s="242"/>
      <c r="AE490" s="242"/>
      <c r="AF490" s="242"/>
      <c r="AG490" s="242"/>
    </row>
    <row r="491" spans="1:39" ht="44.25" customHeight="1" x14ac:dyDescent="0.6">
      <c r="L491" s="238"/>
      <c r="M491" s="239"/>
      <c r="N491" s="240"/>
      <c r="O491" s="241"/>
      <c r="P491" s="239"/>
      <c r="Q491" s="249"/>
      <c r="R491" s="250"/>
      <c r="S491" s="249"/>
      <c r="T491" s="249"/>
      <c r="U491" s="249"/>
      <c r="V491" s="249"/>
      <c r="W491" s="249"/>
      <c r="X491" s="251"/>
      <c r="Y491" s="249"/>
      <c r="Z491" s="249"/>
      <c r="AA491" s="249"/>
      <c r="AB491" s="249"/>
      <c r="AC491" s="249"/>
      <c r="AD491" s="252"/>
      <c r="AE491" s="252"/>
      <c r="AF491" s="252"/>
      <c r="AG491" s="252"/>
      <c r="AH491" s="130"/>
      <c r="AI491" s="130"/>
      <c r="AJ491" s="130"/>
    </row>
    <row r="492" spans="1:39" ht="15.75" customHeight="1" x14ac:dyDescent="0.6">
      <c r="M492" s="130"/>
      <c r="P492" s="130"/>
      <c r="Q492" s="252"/>
      <c r="R492" s="253"/>
      <c r="S492" s="252"/>
      <c r="T492" s="252"/>
      <c r="U492" s="252"/>
      <c r="V492" s="252"/>
      <c r="W492" s="252"/>
      <c r="Y492" s="252"/>
      <c r="Z492" s="252"/>
      <c r="AA492" s="252"/>
      <c r="AB492" s="252"/>
      <c r="AC492" s="252"/>
      <c r="AD492" s="252"/>
      <c r="AE492" s="252"/>
      <c r="AF492" s="252"/>
      <c r="AG492" s="252"/>
      <c r="AH492" s="130"/>
      <c r="AI492" s="130"/>
      <c r="AJ492" s="130"/>
    </row>
    <row r="493" spans="1:39" ht="15.75" customHeight="1" x14ac:dyDescent="0.6">
      <c r="U493" s="252"/>
      <c r="V493" s="252"/>
      <c r="W493" s="252"/>
      <c r="Y493" s="252"/>
      <c r="Z493" s="252"/>
      <c r="AA493" s="252"/>
      <c r="AB493" s="252"/>
      <c r="AC493" s="252"/>
      <c r="AD493" s="252"/>
      <c r="AE493" s="252"/>
      <c r="AF493" s="252"/>
      <c r="AG493" s="252"/>
      <c r="AH493" s="130"/>
      <c r="AI493" s="130"/>
      <c r="AJ493" s="130"/>
    </row>
    <row r="494" spans="1:39" ht="13.5" customHeight="1" x14ac:dyDescent="0.6">
      <c r="K494" s="130"/>
      <c r="U494" s="252"/>
      <c r="V494" s="252"/>
      <c r="W494" s="252"/>
      <c r="Y494" s="252"/>
      <c r="Z494" s="252"/>
      <c r="AA494" s="252"/>
      <c r="AB494" s="252"/>
      <c r="AC494" s="252"/>
      <c r="AD494" s="252"/>
      <c r="AE494" s="252"/>
      <c r="AF494" s="252"/>
      <c r="AG494" s="252"/>
      <c r="AH494" s="130"/>
      <c r="AI494" s="130"/>
      <c r="AJ494" s="130"/>
    </row>
    <row r="495" spans="1:39" ht="15.75" hidden="1" customHeight="1" x14ac:dyDescent="0.6">
      <c r="U495" s="252"/>
      <c r="V495" s="252"/>
      <c r="W495" s="252"/>
      <c r="Y495" s="252"/>
      <c r="Z495" s="252"/>
      <c r="AA495" s="252"/>
      <c r="AB495" s="252"/>
      <c r="AC495" s="252"/>
      <c r="AD495" s="252"/>
      <c r="AE495" s="252"/>
      <c r="AF495" s="252"/>
      <c r="AG495" s="252"/>
      <c r="AH495" s="130"/>
      <c r="AI495" s="130"/>
      <c r="AJ495" s="130"/>
    </row>
  </sheetData>
  <autoFilter ref="A6:AM488">
    <filterColumn colId="2">
      <filters>
        <filter val="ул. Щербакова, д. 16, п. 1, 2, 3, 4"/>
        <filter val="ул. Щербакова, д. 30, п. 1, 2"/>
        <filter val="ул. Щербакова, д. 32, п. 1"/>
        <filter val="ул. Щербакова, д. 34, п. 1, 2, 3, 4, 5, 6"/>
      </filters>
    </filterColumn>
  </autoFilter>
  <mergeCells count="12">
    <mergeCell ref="AD1:AK1"/>
    <mergeCell ref="AD2:AK2"/>
    <mergeCell ref="AD3:AK3"/>
    <mergeCell ref="AD4:AK4"/>
    <mergeCell ref="B460:P460"/>
    <mergeCell ref="AL486:AM486"/>
    <mergeCell ref="B487:AK487"/>
    <mergeCell ref="B461:S461"/>
    <mergeCell ref="B470:J470"/>
    <mergeCell ref="B482:AK482"/>
    <mergeCell ref="B483:AK483"/>
    <mergeCell ref="B486:AK486"/>
  </mergeCells>
  <pageMargins left="0.196850393700787" right="0.196850393700787" top="0.196850393700787" bottom="0.196850393700787" header="0" footer="0"/>
  <pageSetup paperSize="9" scale="25" fitToHeight="0" orientation="landscape" r:id="rId1"/>
  <headerFooter differentFirst="1" scaleWithDoc="0" alignWithMargins="0">
    <oddHeader>&amp;C&amp;P</oddHeader>
    <evenHeader>&amp;C&amp;38
&amp;K00+000 4&amp;K000000</evenHeader>
    <firstHeader>&amp;C&amp;50 
&amp;40 &amp;10</firstHeader>
  </headerFooter>
  <colBreaks count="1" manualBreakCount="1">
    <brk id="36" max="78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J521"/>
  <sheetViews>
    <sheetView topLeftCell="A6" zoomScale="40" zoomScaleNormal="40" zoomScaleSheetLayoutView="40" zoomScalePageLayoutView="40" workbookViewId="0">
      <pane ySplit="10" topLeftCell="A16" activePane="bottomLeft" state="frozen"/>
      <selection pane="bottomLeft" activeCell="R426" sqref="R426"/>
    </sheetView>
  </sheetViews>
  <sheetFormatPr defaultColWidth="9.33203125" defaultRowHeight="22.2" outlineLevelCol="1" x14ac:dyDescent="0.45"/>
  <cols>
    <col min="1" max="1" width="10.109375" style="5" customWidth="1"/>
    <col min="2" max="2" width="8.5546875" style="5" customWidth="1"/>
    <col min="3" max="3" width="49.109375" style="5" customWidth="1"/>
    <col min="4" max="4" width="14" style="6" hidden="1" customWidth="1" outlineLevel="1"/>
    <col min="5" max="5" width="10.33203125" style="6" hidden="1" customWidth="1" outlineLevel="1"/>
    <col min="6" max="6" width="10" style="6" hidden="1" customWidth="1" outlineLevel="1"/>
    <col min="7" max="7" width="19.44140625" style="6" hidden="1" customWidth="1" outlineLevel="1"/>
    <col min="8" max="8" width="19.109375" style="6" hidden="1" customWidth="1" outlineLevel="1"/>
    <col min="9" max="9" width="19.6640625" style="6" hidden="1" customWidth="1" outlineLevel="1"/>
    <col min="10" max="10" width="10.77734375" style="6" hidden="1" customWidth="1" outlineLevel="1"/>
    <col min="11" max="11" width="13.6640625" style="7" hidden="1" customWidth="1" outlineLevel="1"/>
    <col min="12" max="12" width="15.77734375" style="6" hidden="1" customWidth="1" outlineLevel="1"/>
    <col min="13" max="13" width="13.33203125" style="8" hidden="1" customWidth="1" outlineLevel="1"/>
    <col min="14" max="14" width="20.77734375" style="9" customWidth="1" collapsed="1"/>
    <col min="15" max="30" width="20.77734375" style="9" customWidth="1"/>
    <col min="31" max="33" width="20.77734375" style="8" customWidth="1"/>
    <col min="34" max="16384" width="9.33203125" style="5"/>
  </cols>
  <sheetData>
    <row r="1" spans="1:34" ht="27.75" hidden="1" customHeight="1" x14ac:dyDescent="0.45">
      <c r="AA1" s="351" t="s">
        <v>150</v>
      </c>
      <c r="AB1" s="351"/>
      <c r="AC1" s="351"/>
      <c r="AD1" s="351"/>
      <c r="AE1" s="351"/>
      <c r="AF1" s="351"/>
      <c r="AG1" s="351"/>
      <c r="AH1" s="351"/>
    </row>
    <row r="2" spans="1:34" ht="387" hidden="1" customHeight="1" x14ac:dyDescent="0.45">
      <c r="AA2" s="351"/>
      <c r="AB2" s="351"/>
      <c r="AC2" s="351"/>
      <c r="AD2" s="351"/>
      <c r="AE2" s="351"/>
      <c r="AF2" s="351"/>
      <c r="AG2" s="351"/>
      <c r="AH2" s="351"/>
    </row>
    <row r="3" spans="1:34" ht="51" hidden="1" customHeight="1" x14ac:dyDescent="0.45">
      <c r="AA3" s="351"/>
      <c r="AB3" s="351"/>
      <c r="AC3" s="351"/>
      <c r="AD3" s="351"/>
      <c r="AE3" s="351"/>
      <c r="AF3" s="351"/>
      <c r="AG3" s="351"/>
      <c r="AH3" s="351"/>
    </row>
    <row r="4" spans="1:34" ht="3" hidden="1" customHeight="1" x14ac:dyDescent="0.45">
      <c r="AA4" s="351"/>
      <c r="AB4" s="351"/>
      <c r="AC4" s="351"/>
      <c r="AD4" s="351"/>
      <c r="AE4" s="351"/>
      <c r="AF4" s="351"/>
      <c r="AG4" s="351"/>
      <c r="AH4" s="351"/>
    </row>
    <row r="5" spans="1:34" ht="18.75" hidden="1" customHeight="1" x14ac:dyDescent="0.45">
      <c r="AA5" s="33"/>
      <c r="AB5" s="33"/>
      <c r="AC5" s="33"/>
      <c r="AD5" s="33"/>
      <c r="AE5" s="34"/>
      <c r="AF5" s="34"/>
      <c r="AG5" s="34"/>
      <c r="AH5" s="32"/>
    </row>
    <row r="6" spans="1:34" ht="65.25" customHeight="1" x14ac:dyDescent="1.3">
      <c r="B6" s="10"/>
      <c r="C6" s="10"/>
      <c r="D6" s="11"/>
      <c r="E6" s="11"/>
      <c r="F6" s="11"/>
      <c r="G6" s="11"/>
      <c r="H6" s="11"/>
      <c r="I6" s="11"/>
      <c r="J6" s="11"/>
      <c r="K6" s="24"/>
      <c r="L6" s="11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369" t="s">
        <v>151</v>
      </c>
      <c r="AB6" s="369"/>
      <c r="AC6" s="369"/>
      <c r="AD6" s="369"/>
      <c r="AE6" s="369"/>
      <c r="AF6" s="369"/>
      <c r="AG6" s="369"/>
      <c r="AH6" s="32"/>
    </row>
    <row r="7" spans="1:34" ht="13.8" customHeight="1" x14ac:dyDescent="1.3">
      <c r="B7" s="10"/>
      <c r="C7" s="10"/>
      <c r="D7" s="11"/>
      <c r="E7" s="11"/>
      <c r="F7" s="11"/>
      <c r="G7" s="11"/>
      <c r="H7" s="11"/>
      <c r="I7" s="11"/>
      <c r="J7" s="11"/>
      <c r="K7" s="24"/>
      <c r="L7" s="11"/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369" t="s">
        <v>566</v>
      </c>
      <c r="AB7" s="369"/>
      <c r="AC7" s="369"/>
      <c r="AD7" s="369"/>
      <c r="AE7" s="369"/>
      <c r="AF7" s="369"/>
      <c r="AG7" s="369"/>
      <c r="AH7" s="32"/>
    </row>
    <row r="8" spans="1:34" ht="57.75" customHeight="1" x14ac:dyDescent="1.3">
      <c r="B8" s="10"/>
      <c r="C8" s="10"/>
      <c r="D8" s="11"/>
      <c r="E8" s="11"/>
      <c r="F8" s="11"/>
      <c r="G8" s="11"/>
      <c r="H8" s="11"/>
      <c r="I8" s="11"/>
      <c r="J8" s="11"/>
      <c r="K8" s="24"/>
      <c r="L8" s="11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369" t="s">
        <v>567</v>
      </c>
      <c r="AB8" s="369"/>
      <c r="AC8" s="369"/>
      <c r="AD8" s="369"/>
      <c r="AE8" s="369"/>
      <c r="AF8" s="369"/>
      <c r="AG8" s="369"/>
      <c r="AH8" s="32"/>
    </row>
    <row r="9" spans="1:34" ht="33" customHeight="1" x14ac:dyDescent="1.3">
      <c r="B9" s="10"/>
      <c r="C9" s="10"/>
      <c r="D9" s="11"/>
      <c r="E9" s="11"/>
      <c r="F9" s="11"/>
      <c r="G9" s="11"/>
      <c r="H9" s="11"/>
      <c r="I9" s="11"/>
      <c r="J9" s="11"/>
      <c r="K9" s="24"/>
      <c r="L9" s="11"/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369" t="s">
        <v>568</v>
      </c>
      <c r="AB9" s="369"/>
      <c r="AC9" s="369"/>
      <c r="AD9" s="369"/>
      <c r="AE9" s="369"/>
      <c r="AF9" s="369"/>
      <c r="AG9" s="369"/>
      <c r="AH9" s="32"/>
    </row>
    <row r="10" spans="1:34" ht="31.8" customHeight="1" x14ac:dyDescent="1.05">
      <c r="B10" s="10"/>
      <c r="C10" s="10"/>
      <c r="D10" s="11"/>
      <c r="E10" s="11"/>
      <c r="F10" s="11"/>
      <c r="G10" s="11"/>
      <c r="H10" s="11"/>
      <c r="I10" s="11"/>
      <c r="J10" s="11"/>
      <c r="K10" s="24"/>
      <c r="L10" s="11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35"/>
      <c r="AB10" s="35"/>
      <c r="AC10" s="35"/>
      <c r="AD10" s="35"/>
      <c r="AE10" s="36"/>
      <c r="AF10" s="36"/>
      <c r="AG10" s="36"/>
      <c r="AH10" s="32"/>
    </row>
    <row r="11" spans="1:34" s="1" customFormat="1" ht="22.2" customHeight="1" x14ac:dyDescent="0.45">
      <c r="A11" s="370" t="s">
        <v>569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</row>
    <row r="12" spans="1:34" s="1" customFormat="1" ht="33.75" customHeight="1" x14ac:dyDescent="0.4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4" ht="58.8" customHeight="1" x14ac:dyDescent="0.45">
      <c r="A13" s="357" t="s">
        <v>9</v>
      </c>
      <c r="B13" s="359" t="s">
        <v>570</v>
      </c>
      <c r="C13" s="359" t="s">
        <v>152</v>
      </c>
      <c r="D13" s="359" t="s">
        <v>571</v>
      </c>
      <c r="E13" s="359" t="s">
        <v>572</v>
      </c>
      <c r="F13" s="359" t="s">
        <v>573</v>
      </c>
      <c r="G13" s="357" t="s">
        <v>574</v>
      </c>
      <c r="H13" s="352" t="s">
        <v>575</v>
      </c>
      <c r="I13" s="354"/>
      <c r="J13" s="359" t="s">
        <v>576</v>
      </c>
      <c r="K13" s="359" t="s">
        <v>577</v>
      </c>
      <c r="L13" s="359" t="s">
        <v>578</v>
      </c>
      <c r="M13" s="359" t="s">
        <v>415</v>
      </c>
      <c r="N13" s="371" t="s">
        <v>579</v>
      </c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52" t="s">
        <v>580</v>
      </c>
      <c r="AB13" s="353"/>
      <c r="AC13" s="353"/>
      <c r="AD13" s="353"/>
      <c r="AE13" s="354"/>
      <c r="AF13" s="357" t="s">
        <v>581</v>
      </c>
      <c r="AG13" s="357" t="s">
        <v>582</v>
      </c>
    </row>
    <row r="14" spans="1:34" ht="91.2" customHeight="1" x14ac:dyDescent="0.45">
      <c r="A14" s="358"/>
      <c r="B14" s="360"/>
      <c r="C14" s="360"/>
      <c r="D14" s="360"/>
      <c r="E14" s="360"/>
      <c r="F14" s="360"/>
      <c r="G14" s="358"/>
      <c r="H14" s="16" t="s">
        <v>583</v>
      </c>
      <c r="I14" s="16" t="s">
        <v>584</v>
      </c>
      <c r="J14" s="360"/>
      <c r="K14" s="360"/>
      <c r="L14" s="360"/>
      <c r="M14" s="360"/>
      <c r="N14" s="28" t="s">
        <v>343</v>
      </c>
      <c r="O14" s="28" t="s">
        <v>344</v>
      </c>
      <c r="P14" s="28" t="s">
        <v>345</v>
      </c>
      <c r="Q14" s="28" t="s">
        <v>346</v>
      </c>
      <c r="R14" s="28" t="s">
        <v>347</v>
      </c>
      <c r="S14" s="28" t="s">
        <v>348</v>
      </c>
      <c r="T14" s="28" t="s">
        <v>349</v>
      </c>
      <c r="U14" s="28" t="s">
        <v>350</v>
      </c>
      <c r="V14" s="28" t="s">
        <v>351</v>
      </c>
      <c r="W14" s="28" t="s">
        <v>352</v>
      </c>
      <c r="X14" s="28" t="s">
        <v>353</v>
      </c>
      <c r="Y14" s="28" t="s">
        <v>354</v>
      </c>
      <c r="Z14" s="28" t="s">
        <v>355</v>
      </c>
      <c r="AA14" s="28" t="s">
        <v>356</v>
      </c>
      <c r="AB14" s="28" t="s">
        <v>357</v>
      </c>
      <c r="AC14" s="28" t="s">
        <v>358</v>
      </c>
      <c r="AD14" s="28" t="s">
        <v>359</v>
      </c>
      <c r="AE14" s="19" t="s">
        <v>585</v>
      </c>
      <c r="AF14" s="358"/>
      <c r="AG14" s="358"/>
    </row>
    <row r="15" spans="1:34" s="2" customFormat="1" ht="64.5" customHeight="1" x14ac:dyDescent="0.4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  <c r="W15" s="17">
        <v>23</v>
      </c>
      <c r="X15" s="17">
        <v>24</v>
      </c>
      <c r="Y15" s="17">
        <v>25</v>
      </c>
      <c r="Z15" s="17">
        <v>26</v>
      </c>
      <c r="AA15" s="17">
        <v>27</v>
      </c>
      <c r="AB15" s="17">
        <v>28</v>
      </c>
      <c r="AC15" s="17">
        <v>29</v>
      </c>
      <c r="AD15" s="17">
        <v>30</v>
      </c>
      <c r="AE15" s="17">
        <v>31</v>
      </c>
      <c r="AF15" s="17">
        <v>32</v>
      </c>
      <c r="AG15" s="17">
        <v>33</v>
      </c>
    </row>
    <row r="16" spans="1:34" ht="77.25" hidden="1" customHeight="1" x14ac:dyDescent="0.45">
      <c r="A16" s="365" t="s">
        <v>586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7"/>
    </row>
    <row r="17" spans="1:33" ht="84.9" hidden="1" customHeight="1" x14ac:dyDescent="0.45">
      <c r="A17" s="19">
        <v>1</v>
      </c>
      <c r="B17" s="19" t="s">
        <v>587</v>
      </c>
      <c r="C17" s="19" t="s">
        <v>588</v>
      </c>
      <c r="D17" s="19">
        <v>1952</v>
      </c>
      <c r="E17" s="19">
        <v>5</v>
      </c>
      <c r="F17" s="19">
        <v>4</v>
      </c>
      <c r="G17" s="19">
        <v>3581.6</v>
      </c>
      <c r="H17" s="19">
        <v>3289.2</v>
      </c>
      <c r="I17" s="19">
        <v>3288.2</v>
      </c>
      <c r="J17" s="19">
        <v>155</v>
      </c>
      <c r="K17" s="19" t="s">
        <v>365</v>
      </c>
      <c r="L17" s="19" t="s">
        <v>366</v>
      </c>
      <c r="M17" s="37"/>
      <c r="N17" s="28"/>
      <c r="O17" s="28"/>
      <c r="P17" s="28"/>
      <c r="Q17" s="28"/>
      <c r="R17" s="28"/>
      <c r="S17" s="28"/>
      <c r="T17" s="28"/>
      <c r="U17" s="28"/>
      <c r="V17" s="28">
        <v>8695756.3850500006</v>
      </c>
      <c r="W17" s="28"/>
      <c r="X17" s="28"/>
      <c r="Y17" s="28"/>
      <c r="Z17" s="28">
        <v>130436.35</v>
      </c>
      <c r="AA17" s="28">
        <f>N17+O17+P17+Q17+R17+S17+T17+U17+V17+W17+X17+Y17+Z17</f>
        <v>8826192.7350500003</v>
      </c>
      <c r="AB17" s="28"/>
      <c r="AC17" s="28"/>
      <c r="AD17" s="28">
        <f t="shared" ref="AD17:AD22" si="0">AA17</f>
        <v>8826192.7350500003</v>
      </c>
      <c r="AE17" s="19"/>
      <c r="AF17" s="19">
        <v>2020</v>
      </c>
      <c r="AG17" s="19">
        <v>2022</v>
      </c>
    </row>
    <row r="18" spans="1:33" ht="84.9" hidden="1" customHeight="1" x14ac:dyDescent="0.45">
      <c r="A18" s="19">
        <v>2</v>
      </c>
      <c r="B18" s="19" t="s">
        <v>587</v>
      </c>
      <c r="C18" s="19" t="s">
        <v>589</v>
      </c>
      <c r="D18" s="19">
        <v>1993</v>
      </c>
      <c r="E18" s="19">
        <v>5</v>
      </c>
      <c r="F18" s="19">
        <v>3</v>
      </c>
      <c r="G18" s="19">
        <v>2725</v>
      </c>
      <c r="H18" s="19" t="s">
        <v>364</v>
      </c>
      <c r="I18" s="19" t="s">
        <v>364</v>
      </c>
      <c r="J18" s="19" t="s">
        <v>364</v>
      </c>
      <c r="K18" s="19" t="s">
        <v>365</v>
      </c>
      <c r="L18" s="19" t="s">
        <v>366</v>
      </c>
      <c r="M18" s="37"/>
      <c r="N18" s="28"/>
      <c r="O18" s="28"/>
      <c r="P18" s="28"/>
      <c r="Q18" s="28"/>
      <c r="R18" s="28">
        <v>961324.71</v>
      </c>
      <c r="S18" s="28"/>
      <c r="T18" s="28"/>
      <c r="U18" s="28"/>
      <c r="V18" s="28"/>
      <c r="W18" s="28"/>
      <c r="X18" s="28"/>
      <c r="Y18" s="28"/>
      <c r="Z18" s="28">
        <v>55000</v>
      </c>
      <c r="AA18" s="28">
        <f t="shared" ref="AA18:AA20" si="1">R18+Z18</f>
        <v>1016324.71</v>
      </c>
      <c r="AB18" s="28">
        <f t="shared" ref="AB18:AB20" si="2">AA18</f>
        <v>1016324.71</v>
      </c>
      <c r="AC18" s="28"/>
      <c r="AD18" s="28"/>
      <c r="AE18" s="19"/>
      <c r="AF18" s="19">
        <v>2020</v>
      </c>
      <c r="AG18" s="19">
        <v>2021</v>
      </c>
    </row>
    <row r="19" spans="1:33" ht="84.9" hidden="1" customHeight="1" x14ac:dyDescent="0.45">
      <c r="A19" s="19">
        <v>3</v>
      </c>
      <c r="B19" s="19" t="s">
        <v>587</v>
      </c>
      <c r="C19" s="19" t="s">
        <v>590</v>
      </c>
      <c r="D19" s="19">
        <v>1960</v>
      </c>
      <c r="E19" s="19">
        <v>4</v>
      </c>
      <c r="F19" s="19">
        <v>3</v>
      </c>
      <c r="G19" s="19">
        <v>2660.1</v>
      </c>
      <c r="H19" s="19">
        <v>2549.6999999999998</v>
      </c>
      <c r="I19" s="19">
        <v>1413.8</v>
      </c>
      <c r="J19" s="19">
        <v>79</v>
      </c>
      <c r="K19" s="19" t="s">
        <v>365</v>
      </c>
      <c r="L19" s="19" t="s">
        <v>366</v>
      </c>
      <c r="M19" s="37"/>
      <c r="N19" s="28"/>
      <c r="O19" s="28"/>
      <c r="P19" s="28"/>
      <c r="Q19" s="28"/>
      <c r="R19" s="28">
        <v>961324.71</v>
      </c>
      <c r="S19" s="28"/>
      <c r="T19" s="28"/>
      <c r="U19" s="28"/>
      <c r="V19" s="28"/>
      <c r="W19" s="28"/>
      <c r="X19" s="28"/>
      <c r="Y19" s="28"/>
      <c r="Z19" s="28">
        <v>55000</v>
      </c>
      <c r="AA19" s="28">
        <f t="shared" si="1"/>
        <v>1016324.71</v>
      </c>
      <c r="AB19" s="28">
        <f t="shared" si="2"/>
        <v>1016324.71</v>
      </c>
      <c r="AC19" s="28"/>
      <c r="AD19" s="28"/>
      <c r="AE19" s="19"/>
      <c r="AF19" s="19">
        <v>2020</v>
      </c>
      <c r="AG19" s="19">
        <v>2021</v>
      </c>
    </row>
    <row r="20" spans="1:33" ht="84.9" hidden="1" customHeight="1" x14ac:dyDescent="0.45">
      <c r="A20" s="19">
        <v>4</v>
      </c>
      <c r="B20" s="19" t="s">
        <v>587</v>
      </c>
      <c r="C20" s="19" t="s">
        <v>591</v>
      </c>
      <c r="D20" s="19">
        <v>1967</v>
      </c>
      <c r="E20" s="19">
        <v>5</v>
      </c>
      <c r="F20" s="19">
        <v>6</v>
      </c>
      <c r="G20" s="19">
        <v>2673.6</v>
      </c>
      <c r="H20" s="19">
        <v>2673.6</v>
      </c>
      <c r="I20" s="19">
        <v>1799.3</v>
      </c>
      <c r="J20" s="19">
        <v>98</v>
      </c>
      <c r="K20" s="19" t="s">
        <v>365</v>
      </c>
      <c r="L20" s="19" t="s">
        <v>366</v>
      </c>
      <c r="M20" s="37"/>
      <c r="N20" s="28"/>
      <c r="O20" s="28"/>
      <c r="P20" s="28"/>
      <c r="Q20" s="28"/>
      <c r="R20" s="28">
        <v>961324.71</v>
      </c>
      <c r="S20" s="28"/>
      <c r="T20" s="28"/>
      <c r="U20" s="28"/>
      <c r="V20" s="28"/>
      <c r="W20" s="28"/>
      <c r="X20" s="28"/>
      <c r="Y20" s="28"/>
      <c r="Z20" s="28">
        <v>55000</v>
      </c>
      <c r="AA20" s="28">
        <f t="shared" si="1"/>
        <v>1016324.71</v>
      </c>
      <c r="AB20" s="28">
        <f t="shared" si="2"/>
        <v>1016324.71</v>
      </c>
      <c r="AC20" s="28"/>
      <c r="AD20" s="28"/>
      <c r="AE20" s="19"/>
      <c r="AF20" s="19">
        <v>2020</v>
      </c>
      <c r="AG20" s="19">
        <v>2021</v>
      </c>
    </row>
    <row r="21" spans="1:33" ht="84.9" hidden="1" customHeight="1" x14ac:dyDescent="0.45">
      <c r="A21" s="19">
        <v>5</v>
      </c>
      <c r="B21" s="19" t="s">
        <v>587</v>
      </c>
      <c r="C21" s="19" t="s">
        <v>372</v>
      </c>
      <c r="D21" s="19">
        <v>1960</v>
      </c>
      <c r="E21" s="19">
        <v>5</v>
      </c>
      <c r="F21" s="19">
        <v>2</v>
      </c>
      <c r="G21" s="19">
        <v>1605.3</v>
      </c>
      <c r="H21" s="19">
        <v>1605.3</v>
      </c>
      <c r="I21" s="43">
        <v>1038.9000000000001</v>
      </c>
      <c r="J21" s="19" t="s">
        <v>364</v>
      </c>
      <c r="K21" s="19" t="s">
        <v>365</v>
      </c>
      <c r="L21" s="19" t="s">
        <v>366</v>
      </c>
      <c r="M21" s="37"/>
      <c r="N21" s="28"/>
      <c r="O21" s="28" t="s">
        <v>374</v>
      </c>
      <c r="P21" s="28"/>
      <c r="Q21" s="28"/>
      <c r="R21" s="28"/>
      <c r="S21" s="28"/>
      <c r="T21" s="28"/>
      <c r="U21" s="28"/>
      <c r="V21" s="28"/>
      <c r="W21" s="28"/>
      <c r="X21" s="28">
        <v>4397353.1038499996</v>
      </c>
      <c r="Y21" s="28"/>
      <c r="Z21" s="28">
        <v>171637.7</v>
      </c>
      <c r="AA21" s="28">
        <f t="shared" ref="AA21:AA51" si="3">SUM(N21:Z21)</f>
        <v>4568990.8038499998</v>
      </c>
      <c r="AB21" s="28"/>
      <c r="AC21" s="28"/>
      <c r="AD21" s="28">
        <f t="shared" si="0"/>
        <v>4568990.8038499998</v>
      </c>
      <c r="AE21" s="37"/>
      <c r="AF21" s="19">
        <v>2020</v>
      </c>
      <c r="AG21" s="19">
        <v>2022</v>
      </c>
    </row>
    <row r="22" spans="1:33" ht="84.9" hidden="1" customHeight="1" x14ac:dyDescent="0.45">
      <c r="A22" s="19">
        <v>6</v>
      </c>
      <c r="B22" s="19" t="s">
        <v>587</v>
      </c>
      <c r="C22" s="19" t="s">
        <v>592</v>
      </c>
      <c r="D22" s="19">
        <v>1968</v>
      </c>
      <c r="E22" s="19">
        <v>9</v>
      </c>
      <c r="F22" s="19">
        <v>1</v>
      </c>
      <c r="G22" s="23">
        <v>3592.7</v>
      </c>
      <c r="H22" s="23">
        <v>3650.3</v>
      </c>
      <c r="I22" s="23">
        <v>2860.1</v>
      </c>
      <c r="J22" s="19" t="s">
        <v>364</v>
      </c>
      <c r="K22" s="19" t="s">
        <v>365</v>
      </c>
      <c r="L22" s="19" t="s">
        <v>366</v>
      </c>
      <c r="M22" s="37"/>
      <c r="N22" s="28"/>
      <c r="O22" s="30"/>
      <c r="P22" s="28"/>
      <c r="Q22" s="28"/>
      <c r="R22" s="28"/>
      <c r="S22" s="28"/>
      <c r="T22" s="28"/>
      <c r="U22" s="28">
        <v>2961856.62</v>
      </c>
      <c r="V22" s="28"/>
      <c r="W22" s="28"/>
      <c r="X22" s="28"/>
      <c r="Y22" s="28"/>
      <c r="Z22" s="28">
        <v>75945.039999999994</v>
      </c>
      <c r="AA22" s="28">
        <f t="shared" si="3"/>
        <v>3037801.66</v>
      </c>
      <c r="AB22" s="28"/>
      <c r="AC22" s="28"/>
      <c r="AD22" s="28">
        <f t="shared" si="0"/>
        <v>3037801.66</v>
      </c>
      <c r="AE22" s="37"/>
      <c r="AF22" s="19">
        <v>2020</v>
      </c>
      <c r="AG22" s="19">
        <v>2021</v>
      </c>
    </row>
    <row r="23" spans="1:33" ht="84.9" hidden="1" customHeight="1" x14ac:dyDescent="0.45">
      <c r="A23" s="19">
        <v>7</v>
      </c>
      <c r="B23" s="19" t="s">
        <v>587</v>
      </c>
      <c r="C23" s="19" t="s">
        <v>593</v>
      </c>
      <c r="D23" s="19">
        <v>1950</v>
      </c>
      <c r="E23" s="19">
        <v>3</v>
      </c>
      <c r="F23" s="19">
        <v>2</v>
      </c>
      <c r="G23" s="23">
        <v>1495.9</v>
      </c>
      <c r="H23" s="23">
        <v>1294</v>
      </c>
      <c r="I23" s="19">
        <v>1010.8</v>
      </c>
      <c r="J23" s="19">
        <v>51</v>
      </c>
      <c r="K23" s="19" t="s">
        <v>365</v>
      </c>
      <c r="L23" s="19" t="s">
        <v>366</v>
      </c>
      <c r="M23" s="37"/>
      <c r="N23" s="28"/>
      <c r="O23" s="28"/>
      <c r="P23" s="28"/>
      <c r="Q23" s="28"/>
      <c r="R23" s="28">
        <v>961324.71</v>
      </c>
      <c r="S23" s="28"/>
      <c r="T23" s="28"/>
      <c r="U23" s="28"/>
      <c r="V23" s="28"/>
      <c r="W23" s="28"/>
      <c r="X23" s="28"/>
      <c r="Y23" s="28"/>
      <c r="Z23" s="28">
        <v>55000</v>
      </c>
      <c r="AA23" s="28">
        <f>R23+Z23</f>
        <v>1016324.71</v>
      </c>
      <c r="AB23" s="28">
        <f>AA23</f>
        <v>1016324.71</v>
      </c>
      <c r="AC23" s="28"/>
      <c r="AD23" s="28"/>
      <c r="AE23" s="37"/>
      <c r="AF23" s="19">
        <v>2020</v>
      </c>
      <c r="AG23" s="19">
        <v>2021</v>
      </c>
    </row>
    <row r="24" spans="1:33" ht="84.9" hidden="1" customHeight="1" x14ac:dyDescent="0.45">
      <c r="A24" s="19">
        <v>8</v>
      </c>
      <c r="B24" s="19" t="s">
        <v>587</v>
      </c>
      <c r="C24" s="19" t="s">
        <v>594</v>
      </c>
      <c r="D24" s="19">
        <v>1976</v>
      </c>
      <c r="E24" s="19">
        <v>9</v>
      </c>
      <c r="F24" s="19">
        <v>2</v>
      </c>
      <c r="G24" s="23">
        <v>4545.7</v>
      </c>
      <c r="H24" s="23">
        <v>3887</v>
      </c>
      <c r="I24" s="19" t="s">
        <v>364</v>
      </c>
      <c r="J24" s="19" t="s">
        <v>364</v>
      </c>
      <c r="K24" s="19" t="s">
        <v>365</v>
      </c>
      <c r="L24" s="19" t="s">
        <v>366</v>
      </c>
      <c r="M24" s="37"/>
      <c r="N24" s="28"/>
      <c r="O24" s="28"/>
      <c r="P24" s="28"/>
      <c r="Q24" s="28"/>
      <c r="R24" s="28"/>
      <c r="S24" s="28"/>
      <c r="T24" s="28"/>
      <c r="U24" s="28">
        <v>4800000</v>
      </c>
      <c r="V24" s="28"/>
      <c r="W24" s="28"/>
      <c r="X24" s="28"/>
      <c r="Y24" s="28"/>
      <c r="Z24" s="28"/>
      <c r="AA24" s="28">
        <f t="shared" si="3"/>
        <v>4800000</v>
      </c>
      <c r="AB24" s="28">
        <v>960000</v>
      </c>
      <c r="AC24" s="28"/>
      <c r="AD24" s="28">
        <v>3840000</v>
      </c>
      <c r="AE24" s="37"/>
      <c r="AF24" s="19">
        <v>2020</v>
      </c>
      <c r="AG24" s="19">
        <v>2022</v>
      </c>
    </row>
    <row r="25" spans="1:33" ht="84.9" hidden="1" customHeight="1" x14ac:dyDescent="0.45">
      <c r="A25" s="19">
        <v>9</v>
      </c>
      <c r="B25" s="19" t="s">
        <v>587</v>
      </c>
      <c r="C25" s="19" t="s">
        <v>595</v>
      </c>
      <c r="D25" s="19">
        <v>1976</v>
      </c>
      <c r="E25" s="19">
        <v>9</v>
      </c>
      <c r="F25" s="19">
        <v>2</v>
      </c>
      <c r="G25" s="23">
        <v>4452.8999999999996</v>
      </c>
      <c r="H25" s="23">
        <v>3824.1</v>
      </c>
      <c r="I25" s="19" t="s">
        <v>364</v>
      </c>
      <c r="J25" s="19" t="s">
        <v>364</v>
      </c>
      <c r="K25" s="19" t="s">
        <v>365</v>
      </c>
      <c r="L25" s="19" t="s">
        <v>366</v>
      </c>
      <c r="M25" s="37"/>
      <c r="N25" s="28"/>
      <c r="O25" s="28"/>
      <c r="P25" s="28"/>
      <c r="Q25" s="28"/>
      <c r="R25" s="28"/>
      <c r="S25" s="28"/>
      <c r="T25" s="28"/>
      <c r="U25" s="28">
        <v>4800000</v>
      </c>
      <c r="V25" s="28"/>
      <c r="W25" s="28"/>
      <c r="X25" s="28"/>
      <c r="Y25" s="28"/>
      <c r="Z25" s="28"/>
      <c r="AA25" s="28">
        <f t="shared" si="3"/>
        <v>4800000</v>
      </c>
      <c r="AB25" s="28">
        <v>960000</v>
      </c>
      <c r="AC25" s="28"/>
      <c r="AD25" s="28">
        <v>3840000</v>
      </c>
      <c r="AE25" s="37"/>
      <c r="AF25" s="19">
        <v>2020</v>
      </c>
      <c r="AG25" s="19">
        <v>2022</v>
      </c>
    </row>
    <row r="26" spans="1:33" ht="84.9" hidden="1" customHeight="1" x14ac:dyDescent="0.45">
      <c r="A26" s="19">
        <v>10</v>
      </c>
      <c r="B26" s="19" t="s">
        <v>587</v>
      </c>
      <c r="C26" s="19" t="s">
        <v>596</v>
      </c>
      <c r="D26" s="19">
        <v>1975</v>
      </c>
      <c r="E26" s="19">
        <v>9</v>
      </c>
      <c r="F26" s="19">
        <v>2</v>
      </c>
      <c r="G26" s="23">
        <v>4492</v>
      </c>
      <c r="H26" s="23">
        <v>3853.2</v>
      </c>
      <c r="I26" s="19" t="s">
        <v>364</v>
      </c>
      <c r="J26" s="19" t="s">
        <v>364</v>
      </c>
      <c r="K26" s="19" t="s">
        <v>365</v>
      </c>
      <c r="L26" s="19" t="s">
        <v>366</v>
      </c>
      <c r="M26" s="37"/>
      <c r="N26" s="28"/>
      <c r="O26" s="28"/>
      <c r="P26" s="28"/>
      <c r="Q26" s="28"/>
      <c r="R26" s="28"/>
      <c r="S26" s="28"/>
      <c r="T26" s="28"/>
      <c r="U26" s="28">
        <v>4800000</v>
      </c>
      <c r="V26" s="28"/>
      <c r="W26" s="28"/>
      <c r="X26" s="28"/>
      <c r="Y26" s="28"/>
      <c r="Z26" s="28"/>
      <c r="AA26" s="28">
        <f t="shared" si="3"/>
        <v>4800000</v>
      </c>
      <c r="AB26" s="28">
        <v>960000</v>
      </c>
      <c r="AC26" s="28"/>
      <c r="AD26" s="28">
        <v>3840000</v>
      </c>
      <c r="AE26" s="37"/>
      <c r="AF26" s="19">
        <v>2020</v>
      </c>
      <c r="AG26" s="19">
        <v>2022</v>
      </c>
    </row>
    <row r="27" spans="1:33" ht="84.9" hidden="1" customHeight="1" x14ac:dyDescent="0.45">
      <c r="A27" s="19">
        <v>11</v>
      </c>
      <c r="B27" s="19" t="s">
        <v>587</v>
      </c>
      <c r="C27" s="19" t="s">
        <v>597</v>
      </c>
      <c r="D27" s="19">
        <v>1976</v>
      </c>
      <c r="E27" s="19">
        <v>9</v>
      </c>
      <c r="F27" s="19">
        <v>2</v>
      </c>
      <c r="G27" s="23">
        <v>6054.7</v>
      </c>
      <c r="H27" s="23">
        <v>5129.7</v>
      </c>
      <c r="I27" s="19" t="s">
        <v>364</v>
      </c>
      <c r="J27" s="19" t="s">
        <v>364</v>
      </c>
      <c r="K27" s="19" t="s">
        <v>365</v>
      </c>
      <c r="L27" s="19" t="s">
        <v>366</v>
      </c>
      <c r="M27" s="37"/>
      <c r="N27" s="28"/>
      <c r="O27" s="28"/>
      <c r="P27" s="28"/>
      <c r="Q27" s="28"/>
      <c r="R27" s="28"/>
      <c r="S27" s="28"/>
      <c r="T27" s="28"/>
      <c r="U27" s="28">
        <v>4800000</v>
      </c>
      <c r="V27" s="28"/>
      <c r="W27" s="28"/>
      <c r="X27" s="28"/>
      <c r="Y27" s="28"/>
      <c r="Z27" s="28"/>
      <c r="AA27" s="28">
        <f t="shared" si="3"/>
        <v>4800000</v>
      </c>
      <c r="AB27" s="28">
        <v>960000</v>
      </c>
      <c r="AC27" s="28"/>
      <c r="AD27" s="28">
        <v>3840000</v>
      </c>
      <c r="AE27" s="37"/>
      <c r="AF27" s="19">
        <v>2020</v>
      </c>
      <c r="AG27" s="19">
        <v>2022</v>
      </c>
    </row>
    <row r="28" spans="1:33" ht="84.9" hidden="1" customHeight="1" x14ac:dyDescent="0.45">
      <c r="A28" s="19">
        <v>12</v>
      </c>
      <c r="B28" s="19" t="s">
        <v>587</v>
      </c>
      <c r="C28" s="19" t="s">
        <v>598</v>
      </c>
      <c r="D28" s="19">
        <v>1975</v>
      </c>
      <c r="E28" s="19">
        <v>9</v>
      </c>
      <c r="F28" s="19">
        <v>2</v>
      </c>
      <c r="G28" s="23">
        <v>6072.6</v>
      </c>
      <c r="H28" s="23">
        <v>5149</v>
      </c>
      <c r="I28" s="19" t="s">
        <v>364</v>
      </c>
      <c r="J28" s="19" t="s">
        <v>364</v>
      </c>
      <c r="K28" s="19" t="s">
        <v>365</v>
      </c>
      <c r="L28" s="19" t="s">
        <v>366</v>
      </c>
      <c r="M28" s="37"/>
      <c r="N28" s="28"/>
      <c r="O28" s="28"/>
      <c r="P28" s="28"/>
      <c r="Q28" s="28"/>
      <c r="R28" s="28"/>
      <c r="S28" s="28"/>
      <c r="T28" s="28"/>
      <c r="U28" s="28">
        <v>4800000</v>
      </c>
      <c r="V28" s="28"/>
      <c r="W28" s="28"/>
      <c r="X28" s="28"/>
      <c r="Y28" s="28"/>
      <c r="Z28" s="28"/>
      <c r="AA28" s="28">
        <f t="shared" si="3"/>
        <v>4800000</v>
      </c>
      <c r="AB28" s="28">
        <v>960000</v>
      </c>
      <c r="AC28" s="28"/>
      <c r="AD28" s="28">
        <v>3840000</v>
      </c>
      <c r="AE28" s="37"/>
      <c r="AF28" s="19">
        <v>2020</v>
      </c>
      <c r="AG28" s="19">
        <v>2022</v>
      </c>
    </row>
    <row r="29" spans="1:33" ht="84.9" hidden="1" customHeight="1" x14ac:dyDescent="0.45">
      <c r="A29" s="19">
        <v>13</v>
      </c>
      <c r="B29" s="19" t="s">
        <v>587</v>
      </c>
      <c r="C29" s="19" t="s">
        <v>599</v>
      </c>
      <c r="D29" s="19">
        <v>1976</v>
      </c>
      <c r="E29" s="19">
        <v>9</v>
      </c>
      <c r="F29" s="19">
        <v>1</v>
      </c>
      <c r="G29" s="23">
        <v>1922.7</v>
      </c>
      <c r="H29" s="23">
        <v>1213.5</v>
      </c>
      <c r="I29" s="19" t="s">
        <v>364</v>
      </c>
      <c r="J29" s="19" t="s">
        <v>364</v>
      </c>
      <c r="K29" s="19" t="s">
        <v>365</v>
      </c>
      <c r="L29" s="19" t="s">
        <v>366</v>
      </c>
      <c r="M29" s="37"/>
      <c r="N29" s="28"/>
      <c r="O29" s="28"/>
      <c r="P29" s="28"/>
      <c r="Q29" s="28"/>
      <c r="R29" s="28"/>
      <c r="S29" s="28"/>
      <c r="T29" s="28"/>
      <c r="U29" s="28">
        <v>2400000</v>
      </c>
      <c r="V29" s="28"/>
      <c r="W29" s="28"/>
      <c r="X29" s="28"/>
      <c r="Y29" s="28"/>
      <c r="Z29" s="28"/>
      <c r="AA29" s="28">
        <f t="shared" si="3"/>
        <v>2400000</v>
      </c>
      <c r="AB29" s="28">
        <v>480000</v>
      </c>
      <c r="AC29" s="28"/>
      <c r="AD29" s="28">
        <v>1920000</v>
      </c>
      <c r="AE29" s="37"/>
      <c r="AF29" s="19">
        <v>2020</v>
      </c>
      <c r="AG29" s="19">
        <v>2022</v>
      </c>
    </row>
    <row r="30" spans="1:33" ht="84.9" hidden="1" customHeight="1" x14ac:dyDescent="0.45">
      <c r="A30" s="19">
        <v>14</v>
      </c>
      <c r="B30" s="19" t="s">
        <v>587</v>
      </c>
      <c r="C30" s="19" t="s">
        <v>600</v>
      </c>
      <c r="D30" s="19">
        <v>1975</v>
      </c>
      <c r="E30" s="19">
        <v>9</v>
      </c>
      <c r="F30" s="19">
        <v>1</v>
      </c>
      <c r="G30" s="23">
        <v>1899.4</v>
      </c>
      <c r="H30" s="23">
        <v>1223.4000000000001</v>
      </c>
      <c r="I30" s="19" t="s">
        <v>364</v>
      </c>
      <c r="J30" s="19" t="s">
        <v>364</v>
      </c>
      <c r="K30" s="19" t="s">
        <v>365</v>
      </c>
      <c r="L30" s="19" t="s">
        <v>366</v>
      </c>
      <c r="M30" s="37"/>
      <c r="N30" s="28"/>
      <c r="O30" s="28"/>
      <c r="P30" s="28"/>
      <c r="Q30" s="28"/>
      <c r="R30" s="28"/>
      <c r="S30" s="28"/>
      <c r="T30" s="28"/>
      <c r="U30" s="28">
        <v>2400000</v>
      </c>
      <c r="V30" s="28"/>
      <c r="W30" s="28"/>
      <c r="X30" s="28"/>
      <c r="Y30" s="28"/>
      <c r="Z30" s="28"/>
      <c r="AA30" s="28">
        <f t="shared" si="3"/>
        <v>2400000</v>
      </c>
      <c r="AB30" s="28">
        <v>480000</v>
      </c>
      <c r="AC30" s="28"/>
      <c r="AD30" s="28">
        <v>1920000</v>
      </c>
      <c r="AE30" s="37"/>
      <c r="AF30" s="19">
        <v>2020</v>
      </c>
      <c r="AG30" s="19">
        <v>2022</v>
      </c>
    </row>
    <row r="31" spans="1:33" ht="84.9" hidden="1" customHeight="1" x14ac:dyDescent="0.45">
      <c r="A31" s="19">
        <v>15</v>
      </c>
      <c r="B31" s="19" t="s">
        <v>587</v>
      </c>
      <c r="C31" s="19" t="s">
        <v>601</v>
      </c>
      <c r="D31" s="19">
        <v>1976</v>
      </c>
      <c r="E31" s="19">
        <v>9</v>
      </c>
      <c r="F31" s="19">
        <v>1</v>
      </c>
      <c r="G31" s="23">
        <v>1898.6</v>
      </c>
      <c r="H31" s="23">
        <v>1213.5</v>
      </c>
      <c r="I31" s="19" t="s">
        <v>364</v>
      </c>
      <c r="J31" s="19" t="s">
        <v>364</v>
      </c>
      <c r="K31" s="19" t="s">
        <v>365</v>
      </c>
      <c r="L31" s="19" t="s">
        <v>366</v>
      </c>
      <c r="M31" s="37"/>
      <c r="N31" s="28"/>
      <c r="O31" s="28"/>
      <c r="P31" s="28"/>
      <c r="Q31" s="28"/>
      <c r="R31" s="28"/>
      <c r="S31" s="28"/>
      <c r="T31" s="28"/>
      <c r="U31" s="28">
        <v>2400000</v>
      </c>
      <c r="V31" s="28"/>
      <c r="W31" s="28"/>
      <c r="X31" s="28"/>
      <c r="Y31" s="28"/>
      <c r="Z31" s="28"/>
      <c r="AA31" s="28">
        <f t="shared" si="3"/>
        <v>2400000</v>
      </c>
      <c r="AB31" s="28">
        <v>480000</v>
      </c>
      <c r="AC31" s="28"/>
      <c r="AD31" s="28">
        <v>1920000</v>
      </c>
      <c r="AE31" s="37"/>
      <c r="AF31" s="19">
        <v>2020</v>
      </c>
      <c r="AG31" s="19">
        <v>2022</v>
      </c>
    </row>
    <row r="32" spans="1:33" ht="84.9" hidden="1" customHeight="1" x14ac:dyDescent="0.45">
      <c r="A32" s="19">
        <v>16</v>
      </c>
      <c r="B32" s="19" t="s">
        <v>587</v>
      </c>
      <c r="C32" s="19" t="s">
        <v>602</v>
      </c>
      <c r="D32" s="19">
        <v>1976</v>
      </c>
      <c r="E32" s="19">
        <v>9</v>
      </c>
      <c r="F32" s="19">
        <v>2</v>
      </c>
      <c r="G32" s="23">
        <v>4430.7</v>
      </c>
      <c r="H32" s="23">
        <v>3624.8</v>
      </c>
      <c r="I32" s="19" t="s">
        <v>364</v>
      </c>
      <c r="J32" s="19" t="s">
        <v>364</v>
      </c>
      <c r="K32" s="19" t="s">
        <v>365</v>
      </c>
      <c r="L32" s="19" t="s">
        <v>366</v>
      </c>
      <c r="M32" s="37"/>
      <c r="N32" s="28"/>
      <c r="O32" s="28"/>
      <c r="P32" s="28"/>
      <c r="Q32" s="28"/>
      <c r="R32" s="28"/>
      <c r="S32" s="28"/>
      <c r="T32" s="28"/>
      <c r="U32" s="28">
        <v>4800000</v>
      </c>
      <c r="V32" s="28"/>
      <c r="W32" s="28"/>
      <c r="X32" s="28"/>
      <c r="Y32" s="28"/>
      <c r="Z32" s="28"/>
      <c r="AA32" s="28">
        <f t="shared" si="3"/>
        <v>4800000</v>
      </c>
      <c r="AB32" s="28">
        <v>960000</v>
      </c>
      <c r="AC32" s="28"/>
      <c r="AD32" s="28">
        <v>3840000</v>
      </c>
      <c r="AE32" s="37"/>
      <c r="AF32" s="19">
        <v>2020</v>
      </c>
      <c r="AG32" s="19">
        <v>2022</v>
      </c>
    </row>
    <row r="33" spans="1:33" ht="84.9" hidden="1" customHeight="1" x14ac:dyDescent="0.45">
      <c r="A33" s="19">
        <v>17</v>
      </c>
      <c r="B33" s="19" t="s">
        <v>587</v>
      </c>
      <c r="C33" s="19" t="s">
        <v>603</v>
      </c>
      <c r="D33" s="19">
        <v>1978</v>
      </c>
      <c r="E33" s="19">
        <v>9</v>
      </c>
      <c r="F33" s="19">
        <v>4</v>
      </c>
      <c r="G33" s="23">
        <v>11913.5</v>
      </c>
      <c r="H33" s="23">
        <v>10953</v>
      </c>
      <c r="I33" s="19" t="s">
        <v>364</v>
      </c>
      <c r="J33" s="19" t="s">
        <v>364</v>
      </c>
      <c r="K33" s="19" t="s">
        <v>365</v>
      </c>
      <c r="L33" s="19" t="s">
        <v>366</v>
      </c>
      <c r="M33" s="37"/>
      <c r="N33" s="28"/>
      <c r="O33" s="28"/>
      <c r="P33" s="28"/>
      <c r="Q33" s="28"/>
      <c r="R33" s="28"/>
      <c r="S33" s="28"/>
      <c r="T33" s="28"/>
      <c r="U33" s="28">
        <v>7200000</v>
      </c>
      <c r="V33" s="28"/>
      <c r="W33" s="28"/>
      <c r="X33" s="28"/>
      <c r="Y33" s="28"/>
      <c r="Z33" s="28"/>
      <c r="AA33" s="28">
        <f t="shared" si="3"/>
        <v>7200000</v>
      </c>
      <c r="AB33" s="28">
        <v>1440000</v>
      </c>
      <c r="AC33" s="28"/>
      <c r="AD33" s="28">
        <v>5760000</v>
      </c>
      <c r="AE33" s="37"/>
      <c r="AF33" s="19">
        <v>2020</v>
      </c>
      <c r="AG33" s="19">
        <v>2022</v>
      </c>
    </row>
    <row r="34" spans="1:33" ht="84.9" hidden="1" customHeight="1" x14ac:dyDescent="0.45">
      <c r="A34" s="19">
        <v>18</v>
      </c>
      <c r="B34" s="19" t="s">
        <v>587</v>
      </c>
      <c r="C34" s="19" t="s">
        <v>604</v>
      </c>
      <c r="D34" s="19">
        <v>1978</v>
      </c>
      <c r="E34" s="19">
        <v>9</v>
      </c>
      <c r="F34" s="19">
        <v>4</v>
      </c>
      <c r="G34" s="23">
        <v>12387.3</v>
      </c>
      <c r="H34" s="23">
        <v>11331.6</v>
      </c>
      <c r="I34" s="19" t="s">
        <v>364</v>
      </c>
      <c r="J34" s="19" t="s">
        <v>364</v>
      </c>
      <c r="K34" s="19" t="s">
        <v>365</v>
      </c>
      <c r="L34" s="19" t="s">
        <v>366</v>
      </c>
      <c r="M34" s="37"/>
      <c r="N34" s="28"/>
      <c r="O34" s="28"/>
      <c r="P34" s="28"/>
      <c r="Q34" s="28"/>
      <c r="R34" s="28"/>
      <c r="S34" s="28"/>
      <c r="T34" s="28"/>
      <c r="U34" s="28">
        <v>9600000</v>
      </c>
      <c r="V34" s="28"/>
      <c r="W34" s="28"/>
      <c r="X34" s="28"/>
      <c r="Y34" s="28"/>
      <c r="Z34" s="28"/>
      <c r="AA34" s="28">
        <f t="shared" si="3"/>
        <v>9600000</v>
      </c>
      <c r="AB34" s="28">
        <v>1920000</v>
      </c>
      <c r="AC34" s="28"/>
      <c r="AD34" s="28">
        <v>7680000</v>
      </c>
      <c r="AE34" s="37"/>
      <c r="AF34" s="19">
        <v>2020</v>
      </c>
      <c r="AG34" s="19">
        <v>2022</v>
      </c>
    </row>
    <row r="35" spans="1:33" ht="84.9" hidden="1" customHeight="1" x14ac:dyDescent="0.45">
      <c r="A35" s="19">
        <v>19</v>
      </c>
      <c r="B35" s="19" t="s">
        <v>587</v>
      </c>
      <c r="C35" s="19" t="s">
        <v>605</v>
      </c>
      <c r="D35" s="19">
        <v>1981</v>
      </c>
      <c r="E35" s="19">
        <v>9</v>
      </c>
      <c r="F35" s="19">
        <v>1</v>
      </c>
      <c r="G35" s="23">
        <v>2758.6</v>
      </c>
      <c r="H35" s="23">
        <v>2430.8000000000002</v>
      </c>
      <c r="I35" s="19" t="s">
        <v>364</v>
      </c>
      <c r="J35" s="19" t="s">
        <v>364</v>
      </c>
      <c r="K35" s="19" t="s">
        <v>365</v>
      </c>
      <c r="L35" s="19" t="s">
        <v>366</v>
      </c>
      <c r="M35" s="37"/>
      <c r="N35" s="28"/>
      <c r="O35" s="28"/>
      <c r="P35" s="28"/>
      <c r="Q35" s="28"/>
      <c r="R35" s="28"/>
      <c r="S35" s="28"/>
      <c r="T35" s="28"/>
      <c r="U35" s="28">
        <v>2400000</v>
      </c>
      <c r="V35" s="28"/>
      <c r="W35" s="28"/>
      <c r="X35" s="28"/>
      <c r="Y35" s="28"/>
      <c r="Z35" s="28"/>
      <c r="AA35" s="28">
        <f t="shared" si="3"/>
        <v>2400000</v>
      </c>
      <c r="AB35" s="28">
        <v>480000</v>
      </c>
      <c r="AC35" s="28"/>
      <c r="AD35" s="28">
        <v>1920000</v>
      </c>
      <c r="AE35" s="37"/>
      <c r="AF35" s="19">
        <v>2020</v>
      </c>
      <c r="AG35" s="19">
        <v>2022</v>
      </c>
    </row>
    <row r="36" spans="1:33" ht="84.9" hidden="1" customHeight="1" x14ac:dyDescent="0.45">
      <c r="A36" s="19">
        <v>20</v>
      </c>
      <c r="B36" s="19" t="s">
        <v>587</v>
      </c>
      <c r="C36" s="19" t="s">
        <v>606</v>
      </c>
      <c r="D36" s="19">
        <v>1981</v>
      </c>
      <c r="E36" s="19">
        <v>9</v>
      </c>
      <c r="F36" s="19">
        <v>5</v>
      </c>
      <c r="G36" s="23">
        <v>11891.7</v>
      </c>
      <c r="H36" s="23">
        <v>10812</v>
      </c>
      <c r="I36" s="19" t="s">
        <v>364</v>
      </c>
      <c r="J36" s="19" t="s">
        <v>364</v>
      </c>
      <c r="K36" s="19" t="s">
        <v>365</v>
      </c>
      <c r="L36" s="19" t="s">
        <v>366</v>
      </c>
      <c r="M36" s="37"/>
      <c r="N36" s="28"/>
      <c r="O36" s="28"/>
      <c r="P36" s="28"/>
      <c r="Q36" s="28"/>
      <c r="R36" s="28"/>
      <c r="S36" s="28"/>
      <c r="T36" s="28"/>
      <c r="U36" s="28">
        <v>12000000</v>
      </c>
      <c r="V36" s="28"/>
      <c r="W36" s="28"/>
      <c r="X36" s="28"/>
      <c r="Y36" s="28"/>
      <c r="Z36" s="28"/>
      <c r="AA36" s="28">
        <f t="shared" si="3"/>
        <v>12000000</v>
      </c>
      <c r="AB36" s="28">
        <v>2400000</v>
      </c>
      <c r="AC36" s="28"/>
      <c r="AD36" s="28">
        <v>9600000</v>
      </c>
      <c r="AE36" s="37"/>
      <c r="AF36" s="19">
        <v>2020</v>
      </c>
      <c r="AG36" s="19">
        <v>2022</v>
      </c>
    </row>
    <row r="37" spans="1:33" ht="84.9" hidden="1" customHeight="1" x14ac:dyDescent="0.45">
      <c r="A37" s="19">
        <v>21</v>
      </c>
      <c r="B37" s="19" t="s">
        <v>587</v>
      </c>
      <c r="C37" s="19" t="s">
        <v>607</v>
      </c>
      <c r="D37" s="19">
        <v>1977</v>
      </c>
      <c r="E37" s="19">
        <v>9</v>
      </c>
      <c r="F37" s="19">
        <v>2</v>
      </c>
      <c r="G37" s="23">
        <v>4791.8</v>
      </c>
      <c r="H37" s="23">
        <v>4166.3999999999996</v>
      </c>
      <c r="I37" s="19" t="s">
        <v>364</v>
      </c>
      <c r="J37" s="19" t="s">
        <v>364</v>
      </c>
      <c r="K37" s="19" t="s">
        <v>608</v>
      </c>
      <c r="L37" s="19" t="s">
        <v>366</v>
      </c>
      <c r="M37" s="37"/>
      <c r="N37" s="28"/>
      <c r="O37" s="28"/>
      <c r="P37" s="28"/>
      <c r="Q37" s="28"/>
      <c r="R37" s="28"/>
      <c r="S37" s="28"/>
      <c r="T37" s="28"/>
      <c r="U37" s="28">
        <v>4800000</v>
      </c>
      <c r="V37" s="28"/>
      <c r="W37" s="28"/>
      <c r="X37" s="28"/>
      <c r="Y37" s="28"/>
      <c r="Z37" s="28"/>
      <c r="AA37" s="28">
        <f t="shared" si="3"/>
        <v>4800000</v>
      </c>
      <c r="AB37" s="28">
        <v>960000</v>
      </c>
      <c r="AC37" s="28"/>
      <c r="AD37" s="28">
        <v>3840000</v>
      </c>
      <c r="AE37" s="37"/>
      <c r="AF37" s="19">
        <v>2020</v>
      </c>
      <c r="AG37" s="19">
        <v>2022</v>
      </c>
    </row>
    <row r="38" spans="1:33" ht="84.9" hidden="1" customHeight="1" x14ac:dyDescent="0.45">
      <c r="A38" s="19">
        <v>22</v>
      </c>
      <c r="B38" s="19" t="s">
        <v>587</v>
      </c>
      <c r="C38" s="19" t="s">
        <v>609</v>
      </c>
      <c r="D38" s="19">
        <v>1979</v>
      </c>
      <c r="E38" s="19">
        <v>9</v>
      </c>
      <c r="F38" s="19">
        <v>2</v>
      </c>
      <c r="G38" s="23">
        <v>4491.6000000000004</v>
      </c>
      <c r="H38" s="23">
        <v>3594.3</v>
      </c>
      <c r="I38" s="19" t="s">
        <v>364</v>
      </c>
      <c r="J38" s="19" t="s">
        <v>364</v>
      </c>
      <c r="K38" s="19" t="s">
        <v>608</v>
      </c>
      <c r="L38" s="19" t="s">
        <v>366</v>
      </c>
      <c r="M38" s="37"/>
      <c r="N38" s="28"/>
      <c r="O38" s="28"/>
      <c r="P38" s="28"/>
      <c r="Q38" s="28"/>
      <c r="R38" s="28"/>
      <c r="S38" s="28"/>
      <c r="T38" s="28"/>
      <c r="U38" s="28">
        <v>4800000</v>
      </c>
      <c r="V38" s="28"/>
      <c r="W38" s="28"/>
      <c r="X38" s="28"/>
      <c r="Y38" s="28"/>
      <c r="Z38" s="28"/>
      <c r="AA38" s="28">
        <f t="shared" si="3"/>
        <v>4800000</v>
      </c>
      <c r="AB38" s="28">
        <v>960000</v>
      </c>
      <c r="AC38" s="28"/>
      <c r="AD38" s="28">
        <v>3840000</v>
      </c>
      <c r="AE38" s="37"/>
      <c r="AF38" s="19">
        <v>2020</v>
      </c>
      <c r="AG38" s="19">
        <v>2022</v>
      </c>
    </row>
    <row r="39" spans="1:33" ht="84.9" hidden="1" customHeight="1" x14ac:dyDescent="0.45">
      <c r="A39" s="19">
        <v>23</v>
      </c>
      <c r="B39" s="19" t="s">
        <v>587</v>
      </c>
      <c r="C39" s="19" t="s">
        <v>610</v>
      </c>
      <c r="D39" s="19">
        <v>1977</v>
      </c>
      <c r="E39" s="19">
        <v>9</v>
      </c>
      <c r="F39" s="19">
        <v>2</v>
      </c>
      <c r="G39" s="23">
        <v>4721.1000000000004</v>
      </c>
      <c r="H39" s="23">
        <v>4015.1</v>
      </c>
      <c r="I39" s="19" t="s">
        <v>364</v>
      </c>
      <c r="J39" s="19" t="s">
        <v>364</v>
      </c>
      <c r="K39" s="19" t="s">
        <v>608</v>
      </c>
      <c r="L39" s="19" t="s">
        <v>366</v>
      </c>
      <c r="M39" s="37"/>
      <c r="N39" s="28"/>
      <c r="O39" s="28"/>
      <c r="P39" s="28"/>
      <c r="Q39" s="28"/>
      <c r="R39" s="28"/>
      <c r="S39" s="28"/>
      <c r="T39" s="28"/>
      <c r="U39" s="28">
        <v>4800000</v>
      </c>
      <c r="V39" s="28"/>
      <c r="W39" s="28"/>
      <c r="X39" s="28"/>
      <c r="Y39" s="28"/>
      <c r="Z39" s="28"/>
      <c r="AA39" s="28">
        <f t="shared" si="3"/>
        <v>4800000</v>
      </c>
      <c r="AB39" s="28">
        <v>960000</v>
      </c>
      <c r="AC39" s="28"/>
      <c r="AD39" s="28">
        <v>3840000</v>
      </c>
      <c r="AE39" s="37"/>
      <c r="AF39" s="19">
        <v>2020</v>
      </c>
      <c r="AG39" s="19">
        <v>2022</v>
      </c>
    </row>
    <row r="40" spans="1:33" ht="84.9" hidden="1" customHeight="1" x14ac:dyDescent="0.45">
      <c r="A40" s="19">
        <v>24</v>
      </c>
      <c r="B40" s="19" t="s">
        <v>587</v>
      </c>
      <c r="C40" s="19" t="s">
        <v>611</v>
      </c>
      <c r="D40" s="19">
        <v>1979</v>
      </c>
      <c r="E40" s="19">
        <v>9</v>
      </c>
      <c r="F40" s="19">
        <v>1</v>
      </c>
      <c r="G40" s="23">
        <v>3599.2</v>
      </c>
      <c r="H40" s="23">
        <v>2876.4</v>
      </c>
      <c r="I40" s="19" t="s">
        <v>364</v>
      </c>
      <c r="J40" s="19" t="s">
        <v>364</v>
      </c>
      <c r="K40" s="19" t="s">
        <v>608</v>
      </c>
      <c r="L40" s="19" t="s">
        <v>366</v>
      </c>
      <c r="M40" s="37"/>
      <c r="N40" s="28"/>
      <c r="O40" s="28"/>
      <c r="P40" s="28"/>
      <c r="Q40" s="28"/>
      <c r="R40" s="28"/>
      <c r="S40" s="28"/>
      <c r="T40" s="28"/>
      <c r="U40" s="28">
        <v>2400000</v>
      </c>
      <c r="V40" s="28"/>
      <c r="W40" s="28"/>
      <c r="X40" s="28"/>
      <c r="Y40" s="28"/>
      <c r="Z40" s="28"/>
      <c r="AA40" s="28">
        <f t="shared" si="3"/>
        <v>2400000</v>
      </c>
      <c r="AB40" s="28">
        <v>480000</v>
      </c>
      <c r="AC40" s="28"/>
      <c r="AD40" s="28">
        <v>1920000</v>
      </c>
      <c r="AE40" s="37"/>
      <c r="AF40" s="19">
        <v>2020</v>
      </c>
      <c r="AG40" s="19">
        <v>2022</v>
      </c>
    </row>
    <row r="41" spans="1:33" ht="84.9" hidden="1" customHeight="1" x14ac:dyDescent="0.45">
      <c r="A41" s="19">
        <v>25</v>
      </c>
      <c r="B41" s="19" t="s">
        <v>587</v>
      </c>
      <c r="C41" s="19" t="s">
        <v>612</v>
      </c>
      <c r="D41" s="19">
        <v>1979</v>
      </c>
      <c r="E41" s="19">
        <v>9</v>
      </c>
      <c r="F41" s="19">
        <v>1</v>
      </c>
      <c r="G41" s="23">
        <v>2856.8</v>
      </c>
      <c r="H41" s="23">
        <v>2402.9299999999998</v>
      </c>
      <c r="I41" s="19" t="s">
        <v>364</v>
      </c>
      <c r="J41" s="19" t="s">
        <v>364</v>
      </c>
      <c r="K41" s="19" t="s">
        <v>365</v>
      </c>
      <c r="L41" s="19" t="s">
        <v>366</v>
      </c>
      <c r="M41" s="37"/>
      <c r="N41" s="28"/>
      <c r="O41" s="28"/>
      <c r="P41" s="28"/>
      <c r="Q41" s="28"/>
      <c r="R41" s="28"/>
      <c r="S41" s="28"/>
      <c r="T41" s="28"/>
      <c r="U41" s="28">
        <v>2400000</v>
      </c>
      <c r="V41" s="28"/>
      <c r="W41" s="28"/>
      <c r="X41" s="28"/>
      <c r="Y41" s="28"/>
      <c r="Z41" s="28"/>
      <c r="AA41" s="28">
        <f t="shared" si="3"/>
        <v>2400000</v>
      </c>
      <c r="AB41" s="28">
        <v>480000</v>
      </c>
      <c r="AC41" s="28"/>
      <c r="AD41" s="28">
        <v>1920000</v>
      </c>
      <c r="AE41" s="37"/>
      <c r="AF41" s="19">
        <v>2020</v>
      </c>
      <c r="AG41" s="19">
        <v>2022</v>
      </c>
    </row>
    <row r="42" spans="1:33" ht="84.9" hidden="1" customHeight="1" x14ac:dyDescent="0.45">
      <c r="A42" s="19">
        <v>26</v>
      </c>
      <c r="B42" s="19" t="s">
        <v>587</v>
      </c>
      <c r="C42" s="19" t="s">
        <v>613</v>
      </c>
      <c r="D42" s="19">
        <v>1977</v>
      </c>
      <c r="E42" s="19">
        <v>9</v>
      </c>
      <c r="F42" s="19">
        <v>1</v>
      </c>
      <c r="G42" s="23">
        <v>2274.6</v>
      </c>
      <c r="H42" s="23">
        <v>1922.57</v>
      </c>
      <c r="I42" s="19" t="s">
        <v>364</v>
      </c>
      <c r="J42" s="19" t="s">
        <v>364</v>
      </c>
      <c r="K42" s="19" t="s">
        <v>608</v>
      </c>
      <c r="L42" s="19" t="s">
        <v>366</v>
      </c>
      <c r="M42" s="37"/>
      <c r="N42" s="28"/>
      <c r="O42" s="28"/>
      <c r="P42" s="28"/>
      <c r="Q42" s="28"/>
      <c r="R42" s="28"/>
      <c r="S42" s="28"/>
      <c r="T42" s="28"/>
      <c r="U42" s="28">
        <v>2400000</v>
      </c>
      <c r="V42" s="28"/>
      <c r="W42" s="28"/>
      <c r="X42" s="28"/>
      <c r="Y42" s="28"/>
      <c r="Z42" s="28"/>
      <c r="AA42" s="28">
        <f t="shared" si="3"/>
        <v>2400000</v>
      </c>
      <c r="AB42" s="28">
        <v>480000</v>
      </c>
      <c r="AC42" s="28"/>
      <c r="AD42" s="28">
        <v>1920000</v>
      </c>
      <c r="AE42" s="37"/>
      <c r="AF42" s="19">
        <v>2020</v>
      </c>
      <c r="AG42" s="19">
        <v>2022</v>
      </c>
    </row>
    <row r="43" spans="1:33" ht="84.9" hidden="1" customHeight="1" x14ac:dyDescent="0.45">
      <c r="A43" s="19">
        <v>27</v>
      </c>
      <c r="B43" s="19" t="s">
        <v>587</v>
      </c>
      <c r="C43" s="19" t="s">
        <v>614</v>
      </c>
      <c r="D43" s="19">
        <v>1979</v>
      </c>
      <c r="E43" s="19">
        <v>9</v>
      </c>
      <c r="F43" s="19">
        <v>4</v>
      </c>
      <c r="G43" s="23">
        <v>8864.6</v>
      </c>
      <c r="H43" s="23">
        <v>7505.2</v>
      </c>
      <c r="I43" s="19" t="s">
        <v>364</v>
      </c>
      <c r="J43" s="19" t="s">
        <v>364</v>
      </c>
      <c r="K43" s="19" t="s">
        <v>608</v>
      </c>
      <c r="L43" s="19" t="s">
        <v>366</v>
      </c>
      <c r="M43" s="37"/>
      <c r="N43" s="28"/>
      <c r="O43" s="28"/>
      <c r="P43" s="28"/>
      <c r="Q43" s="28"/>
      <c r="R43" s="28"/>
      <c r="S43" s="28"/>
      <c r="T43" s="28"/>
      <c r="U43" s="28">
        <v>9600000</v>
      </c>
      <c r="V43" s="28"/>
      <c r="W43" s="28"/>
      <c r="X43" s="28"/>
      <c r="Y43" s="28"/>
      <c r="Z43" s="28"/>
      <c r="AA43" s="28">
        <f t="shared" si="3"/>
        <v>9600000</v>
      </c>
      <c r="AB43" s="28">
        <v>1920000</v>
      </c>
      <c r="AC43" s="28"/>
      <c r="AD43" s="28">
        <v>7680000</v>
      </c>
      <c r="AE43" s="37"/>
      <c r="AF43" s="19">
        <v>2020</v>
      </c>
      <c r="AG43" s="19">
        <v>2022</v>
      </c>
    </row>
    <row r="44" spans="1:33" ht="84.9" hidden="1" customHeight="1" x14ac:dyDescent="0.45">
      <c r="A44" s="19">
        <v>28</v>
      </c>
      <c r="B44" s="19" t="s">
        <v>587</v>
      </c>
      <c r="C44" s="19" t="s">
        <v>615</v>
      </c>
      <c r="D44" s="19">
        <v>1979</v>
      </c>
      <c r="E44" s="19">
        <v>9</v>
      </c>
      <c r="F44" s="19">
        <v>2</v>
      </c>
      <c r="G44" s="23">
        <v>4514.8</v>
      </c>
      <c r="H44" s="23">
        <v>3844.2</v>
      </c>
      <c r="I44" s="19" t="s">
        <v>364</v>
      </c>
      <c r="J44" s="19" t="s">
        <v>364</v>
      </c>
      <c r="K44" s="19" t="s">
        <v>365</v>
      </c>
      <c r="L44" s="19" t="s">
        <v>366</v>
      </c>
      <c r="M44" s="37"/>
      <c r="N44" s="28"/>
      <c r="O44" s="28"/>
      <c r="P44" s="28"/>
      <c r="Q44" s="28"/>
      <c r="R44" s="28"/>
      <c r="S44" s="28"/>
      <c r="T44" s="28"/>
      <c r="U44" s="28">
        <v>4800000</v>
      </c>
      <c r="V44" s="28"/>
      <c r="W44" s="28"/>
      <c r="X44" s="28"/>
      <c r="Y44" s="28"/>
      <c r="Z44" s="28"/>
      <c r="AA44" s="28">
        <f t="shared" si="3"/>
        <v>4800000</v>
      </c>
      <c r="AB44" s="28">
        <v>960000</v>
      </c>
      <c r="AC44" s="28"/>
      <c r="AD44" s="28">
        <v>3840000</v>
      </c>
      <c r="AE44" s="37"/>
      <c r="AF44" s="19">
        <v>2020</v>
      </c>
      <c r="AG44" s="19">
        <v>2022</v>
      </c>
    </row>
    <row r="45" spans="1:33" ht="84.9" hidden="1" customHeight="1" x14ac:dyDescent="0.45">
      <c r="A45" s="19">
        <v>29</v>
      </c>
      <c r="B45" s="19" t="s">
        <v>587</v>
      </c>
      <c r="C45" s="19" t="s">
        <v>616</v>
      </c>
      <c r="D45" s="19">
        <v>1979</v>
      </c>
      <c r="E45" s="19">
        <v>9</v>
      </c>
      <c r="F45" s="19">
        <v>6</v>
      </c>
      <c r="G45" s="23">
        <v>18162.400000000001</v>
      </c>
      <c r="H45" s="23">
        <v>16552.53</v>
      </c>
      <c r="I45" s="19" t="s">
        <v>364</v>
      </c>
      <c r="J45" s="19" t="s">
        <v>364</v>
      </c>
      <c r="K45" s="19" t="s">
        <v>365</v>
      </c>
      <c r="L45" s="19" t="s">
        <v>366</v>
      </c>
      <c r="M45" s="37"/>
      <c r="N45" s="28"/>
      <c r="O45" s="28"/>
      <c r="P45" s="28"/>
      <c r="Q45" s="28"/>
      <c r="R45" s="28"/>
      <c r="S45" s="28"/>
      <c r="T45" s="28"/>
      <c r="U45" s="28">
        <v>14400000</v>
      </c>
      <c r="V45" s="28"/>
      <c r="W45" s="28"/>
      <c r="X45" s="28"/>
      <c r="Y45" s="28"/>
      <c r="Z45" s="28"/>
      <c r="AA45" s="28">
        <f t="shared" si="3"/>
        <v>14400000</v>
      </c>
      <c r="AB45" s="28">
        <v>2880000</v>
      </c>
      <c r="AC45" s="28"/>
      <c r="AD45" s="28">
        <v>11520000</v>
      </c>
      <c r="AE45" s="37"/>
      <c r="AF45" s="19">
        <v>2020</v>
      </c>
      <c r="AG45" s="19">
        <v>2022</v>
      </c>
    </row>
    <row r="46" spans="1:33" ht="84.9" hidden="1" customHeight="1" x14ac:dyDescent="0.45">
      <c r="A46" s="19">
        <v>30</v>
      </c>
      <c r="B46" s="19" t="s">
        <v>587</v>
      </c>
      <c r="C46" s="19" t="s">
        <v>617</v>
      </c>
      <c r="D46" s="19">
        <v>1981</v>
      </c>
      <c r="E46" s="19">
        <v>9</v>
      </c>
      <c r="F46" s="19">
        <v>2</v>
      </c>
      <c r="G46" s="23">
        <v>5319.9</v>
      </c>
      <c r="H46" s="23">
        <v>4373.2299999999996</v>
      </c>
      <c r="I46" s="19" t="s">
        <v>364</v>
      </c>
      <c r="J46" s="19" t="s">
        <v>364</v>
      </c>
      <c r="K46" s="19" t="s">
        <v>365</v>
      </c>
      <c r="L46" s="19" t="s">
        <v>366</v>
      </c>
      <c r="M46" s="37"/>
      <c r="N46" s="28"/>
      <c r="O46" s="28"/>
      <c r="P46" s="28"/>
      <c r="Q46" s="28"/>
      <c r="R46" s="28"/>
      <c r="S46" s="28"/>
      <c r="T46" s="28"/>
      <c r="U46" s="28">
        <v>4800000</v>
      </c>
      <c r="V46" s="28"/>
      <c r="W46" s="28"/>
      <c r="X46" s="28"/>
      <c r="Y46" s="28"/>
      <c r="Z46" s="28"/>
      <c r="AA46" s="28">
        <f t="shared" si="3"/>
        <v>4800000</v>
      </c>
      <c r="AB46" s="28">
        <v>960000</v>
      </c>
      <c r="AC46" s="28"/>
      <c r="AD46" s="28">
        <v>3840000</v>
      </c>
      <c r="AE46" s="37"/>
      <c r="AF46" s="19">
        <v>2020</v>
      </c>
      <c r="AG46" s="19">
        <v>2022</v>
      </c>
    </row>
    <row r="47" spans="1:33" ht="84.9" hidden="1" customHeight="1" x14ac:dyDescent="0.45">
      <c r="A47" s="19">
        <v>31</v>
      </c>
      <c r="B47" s="19" t="s">
        <v>587</v>
      </c>
      <c r="C47" s="19" t="s">
        <v>618</v>
      </c>
      <c r="D47" s="19">
        <v>1979</v>
      </c>
      <c r="E47" s="19">
        <v>9</v>
      </c>
      <c r="F47" s="19">
        <v>4</v>
      </c>
      <c r="G47" s="23">
        <v>8775.2999999999993</v>
      </c>
      <c r="H47" s="23">
        <v>7944.53</v>
      </c>
      <c r="I47" s="19" t="s">
        <v>364</v>
      </c>
      <c r="J47" s="19" t="s">
        <v>364</v>
      </c>
      <c r="K47" s="19" t="s">
        <v>365</v>
      </c>
      <c r="L47" s="19" t="s">
        <v>366</v>
      </c>
      <c r="M47" s="37"/>
      <c r="N47" s="28"/>
      <c r="O47" s="28"/>
      <c r="P47" s="28"/>
      <c r="Q47" s="28"/>
      <c r="R47" s="28"/>
      <c r="S47" s="28"/>
      <c r="T47" s="28"/>
      <c r="U47" s="28">
        <v>9600000</v>
      </c>
      <c r="V47" s="28"/>
      <c r="W47" s="28"/>
      <c r="X47" s="28"/>
      <c r="Y47" s="28"/>
      <c r="Z47" s="28"/>
      <c r="AA47" s="28">
        <f t="shared" si="3"/>
        <v>9600000</v>
      </c>
      <c r="AB47" s="28">
        <v>1920000</v>
      </c>
      <c r="AC47" s="28"/>
      <c r="AD47" s="28">
        <v>7680000</v>
      </c>
      <c r="AE47" s="37"/>
      <c r="AF47" s="19">
        <v>2020</v>
      </c>
      <c r="AG47" s="19">
        <v>2022</v>
      </c>
    </row>
    <row r="48" spans="1:33" ht="84.9" hidden="1" customHeight="1" x14ac:dyDescent="0.45">
      <c r="A48" s="19">
        <v>32</v>
      </c>
      <c r="B48" s="19" t="s">
        <v>587</v>
      </c>
      <c r="C48" s="19" t="s">
        <v>619</v>
      </c>
      <c r="D48" s="19">
        <v>1980</v>
      </c>
      <c r="E48" s="19">
        <v>9</v>
      </c>
      <c r="F48" s="19">
        <v>1</v>
      </c>
      <c r="G48" s="23">
        <v>2126.9</v>
      </c>
      <c r="H48" s="23">
        <v>1852.53</v>
      </c>
      <c r="I48" s="19" t="s">
        <v>364</v>
      </c>
      <c r="J48" s="19" t="s">
        <v>364</v>
      </c>
      <c r="K48" s="19" t="s">
        <v>365</v>
      </c>
      <c r="L48" s="19" t="s">
        <v>366</v>
      </c>
      <c r="M48" s="37"/>
      <c r="N48" s="28"/>
      <c r="O48" s="28"/>
      <c r="P48" s="28"/>
      <c r="Q48" s="28"/>
      <c r="R48" s="28"/>
      <c r="S48" s="28"/>
      <c r="T48" s="28"/>
      <c r="U48" s="28">
        <v>2400000</v>
      </c>
      <c r="V48" s="28"/>
      <c r="W48" s="28"/>
      <c r="X48" s="28"/>
      <c r="Y48" s="28"/>
      <c r="Z48" s="28"/>
      <c r="AA48" s="28">
        <f t="shared" si="3"/>
        <v>2400000</v>
      </c>
      <c r="AB48" s="28">
        <v>480000</v>
      </c>
      <c r="AC48" s="28"/>
      <c r="AD48" s="28">
        <v>1920000</v>
      </c>
      <c r="AE48" s="37"/>
      <c r="AF48" s="19">
        <v>2020</v>
      </c>
      <c r="AG48" s="19">
        <v>2022</v>
      </c>
    </row>
    <row r="49" spans="1:33" ht="84.9" hidden="1" customHeight="1" x14ac:dyDescent="0.45">
      <c r="A49" s="19">
        <v>33</v>
      </c>
      <c r="B49" s="19" t="s">
        <v>587</v>
      </c>
      <c r="C49" s="19" t="s">
        <v>620</v>
      </c>
      <c r="D49" s="19">
        <v>1979</v>
      </c>
      <c r="E49" s="19">
        <v>9</v>
      </c>
      <c r="F49" s="19">
        <v>2</v>
      </c>
      <c r="G49" s="23">
        <v>4437.2</v>
      </c>
      <c r="H49" s="23">
        <v>4010.37</v>
      </c>
      <c r="I49" s="19" t="s">
        <v>364</v>
      </c>
      <c r="J49" s="19" t="s">
        <v>364</v>
      </c>
      <c r="K49" s="19" t="s">
        <v>608</v>
      </c>
      <c r="L49" s="19" t="s">
        <v>366</v>
      </c>
      <c r="M49" s="37"/>
      <c r="N49" s="28"/>
      <c r="O49" s="28"/>
      <c r="P49" s="28"/>
      <c r="Q49" s="28"/>
      <c r="R49" s="28"/>
      <c r="S49" s="28"/>
      <c r="T49" s="28"/>
      <c r="U49" s="28">
        <v>4800000</v>
      </c>
      <c r="V49" s="28"/>
      <c r="W49" s="28"/>
      <c r="X49" s="28"/>
      <c r="Y49" s="28"/>
      <c r="Z49" s="28"/>
      <c r="AA49" s="28">
        <f t="shared" si="3"/>
        <v>4800000</v>
      </c>
      <c r="AB49" s="28">
        <v>960000</v>
      </c>
      <c r="AC49" s="28"/>
      <c r="AD49" s="28">
        <v>3840000</v>
      </c>
      <c r="AE49" s="37"/>
      <c r="AF49" s="19">
        <v>2020</v>
      </c>
      <c r="AG49" s="19">
        <v>2022</v>
      </c>
    </row>
    <row r="50" spans="1:33" ht="84.9" hidden="1" customHeight="1" x14ac:dyDescent="0.45">
      <c r="A50" s="19">
        <v>34</v>
      </c>
      <c r="B50" s="19" t="s">
        <v>587</v>
      </c>
      <c r="C50" s="19" t="s">
        <v>621</v>
      </c>
      <c r="D50" s="19">
        <v>1980</v>
      </c>
      <c r="E50" s="19">
        <v>9</v>
      </c>
      <c r="F50" s="19">
        <v>1</v>
      </c>
      <c r="G50" s="23">
        <v>1896.2</v>
      </c>
      <c r="H50" s="23">
        <v>1209.3</v>
      </c>
      <c r="I50" s="19" t="s">
        <v>364</v>
      </c>
      <c r="J50" s="19" t="s">
        <v>364</v>
      </c>
      <c r="K50" s="19" t="s">
        <v>365</v>
      </c>
      <c r="L50" s="19" t="s">
        <v>366</v>
      </c>
      <c r="M50" s="37"/>
      <c r="N50" s="28"/>
      <c r="O50" s="28"/>
      <c r="P50" s="28"/>
      <c r="Q50" s="28"/>
      <c r="R50" s="28"/>
      <c r="S50" s="28"/>
      <c r="T50" s="28"/>
      <c r="U50" s="28">
        <v>2400000</v>
      </c>
      <c r="V50" s="28"/>
      <c r="W50" s="28"/>
      <c r="X50" s="28"/>
      <c r="Y50" s="28"/>
      <c r="Z50" s="28"/>
      <c r="AA50" s="28">
        <f t="shared" si="3"/>
        <v>2400000</v>
      </c>
      <c r="AB50" s="28">
        <v>480000</v>
      </c>
      <c r="AC50" s="28"/>
      <c r="AD50" s="28">
        <v>1920000</v>
      </c>
      <c r="AE50" s="37"/>
      <c r="AF50" s="19">
        <v>2020</v>
      </c>
      <c r="AG50" s="19">
        <v>2022</v>
      </c>
    </row>
    <row r="51" spans="1:33" ht="84.9" hidden="1" customHeight="1" x14ac:dyDescent="0.45">
      <c r="A51" s="19">
        <v>35</v>
      </c>
      <c r="B51" s="19" t="s">
        <v>587</v>
      </c>
      <c r="C51" s="19" t="s">
        <v>622</v>
      </c>
      <c r="D51" s="19">
        <v>1976</v>
      </c>
      <c r="E51" s="19">
        <v>9</v>
      </c>
      <c r="F51" s="19">
        <v>4</v>
      </c>
      <c r="G51" s="23">
        <v>8856.2000000000007</v>
      </c>
      <c r="H51" s="23">
        <v>7533.7</v>
      </c>
      <c r="I51" s="19" t="s">
        <v>364</v>
      </c>
      <c r="J51" s="19" t="s">
        <v>364</v>
      </c>
      <c r="K51" s="19" t="s">
        <v>365</v>
      </c>
      <c r="L51" s="19" t="s">
        <v>366</v>
      </c>
      <c r="M51" s="37"/>
      <c r="N51" s="28"/>
      <c r="O51" s="28"/>
      <c r="P51" s="28"/>
      <c r="Q51" s="28"/>
      <c r="R51" s="28"/>
      <c r="S51" s="28"/>
      <c r="T51" s="28"/>
      <c r="U51" s="28">
        <v>9600000</v>
      </c>
      <c r="V51" s="28"/>
      <c r="W51" s="28"/>
      <c r="X51" s="28"/>
      <c r="Y51" s="28"/>
      <c r="Z51" s="28"/>
      <c r="AA51" s="28">
        <f t="shared" si="3"/>
        <v>9600000</v>
      </c>
      <c r="AB51" s="28">
        <v>1920000</v>
      </c>
      <c r="AC51" s="28"/>
      <c r="AD51" s="28">
        <v>7680000</v>
      </c>
      <c r="AE51" s="37"/>
      <c r="AF51" s="19">
        <v>2020</v>
      </c>
      <c r="AG51" s="19">
        <v>2022</v>
      </c>
    </row>
    <row r="52" spans="1:33" ht="84.9" hidden="1" customHeight="1" x14ac:dyDescent="0.45">
      <c r="A52" s="19">
        <v>36</v>
      </c>
      <c r="B52" s="19" t="s">
        <v>587</v>
      </c>
      <c r="C52" s="19" t="s">
        <v>623</v>
      </c>
      <c r="D52" s="19">
        <v>1959</v>
      </c>
      <c r="E52" s="19">
        <v>6</v>
      </c>
      <c r="F52" s="19">
        <v>4</v>
      </c>
      <c r="G52" s="23">
        <v>7889.3</v>
      </c>
      <c r="H52" s="23">
        <v>7168.1</v>
      </c>
      <c r="I52" s="19">
        <v>4411.1000000000004</v>
      </c>
      <c r="J52" s="19">
        <v>105</v>
      </c>
      <c r="K52" s="19" t="s">
        <v>365</v>
      </c>
      <c r="L52" s="19" t="s">
        <v>366</v>
      </c>
      <c r="M52" s="37" t="s">
        <v>415</v>
      </c>
      <c r="N52" s="28"/>
      <c r="O52" s="28"/>
      <c r="P52" s="28"/>
      <c r="Q52" s="28"/>
      <c r="R52" s="28">
        <v>961324.71</v>
      </c>
      <c r="S52" s="28"/>
      <c r="T52" s="28"/>
      <c r="U52" s="28"/>
      <c r="V52" s="28"/>
      <c r="W52" s="28"/>
      <c r="X52" s="28"/>
      <c r="Y52" s="28"/>
      <c r="Z52" s="28">
        <v>55000</v>
      </c>
      <c r="AA52" s="28">
        <f>R52+Z52</f>
        <v>1016324.71</v>
      </c>
      <c r="AB52" s="28">
        <f>AA52</f>
        <v>1016324.71</v>
      </c>
      <c r="AC52" s="28"/>
      <c r="AD52" s="28"/>
      <c r="AE52" s="37"/>
      <c r="AF52" s="19">
        <v>2020</v>
      </c>
      <c r="AG52" s="19">
        <v>2021</v>
      </c>
    </row>
    <row r="53" spans="1:33" ht="84.9" hidden="1" customHeight="1" x14ac:dyDescent="0.45">
      <c r="A53" s="19">
        <v>37</v>
      </c>
      <c r="B53" s="19" t="s">
        <v>587</v>
      </c>
      <c r="C53" s="19" t="s">
        <v>624</v>
      </c>
      <c r="D53" s="19">
        <v>1956</v>
      </c>
      <c r="E53" s="19">
        <v>5</v>
      </c>
      <c r="F53" s="19">
        <v>4</v>
      </c>
      <c r="G53" s="23">
        <v>4682.1000000000004</v>
      </c>
      <c r="H53" s="23">
        <v>3569.7</v>
      </c>
      <c r="I53" s="23">
        <v>3551</v>
      </c>
      <c r="J53" s="19" t="s">
        <v>364</v>
      </c>
      <c r="K53" s="19" t="s">
        <v>365</v>
      </c>
      <c r="L53" s="19" t="s">
        <v>366</v>
      </c>
      <c r="M53" s="37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>
        <v>8318174.5539899999</v>
      </c>
      <c r="Y53" s="28">
        <v>2943959.43</v>
      </c>
      <c r="Z53" s="28">
        <v>337864.02</v>
      </c>
      <c r="AA53" s="28">
        <f t="shared" ref="AA53:AA81" si="4">SUM(N53:Z53)</f>
        <v>11599998.00399</v>
      </c>
      <c r="AB53" s="28"/>
      <c r="AC53" s="28"/>
      <c r="AD53" s="28">
        <f>AA53</f>
        <v>11599998.00399</v>
      </c>
      <c r="AE53" s="37"/>
      <c r="AF53" s="19">
        <v>2020</v>
      </c>
      <c r="AG53" s="19">
        <v>2022</v>
      </c>
    </row>
    <row r="54" spans="1:33" ht="84.9" hidden="1" customHeight="1" x14ac:dyDescent="0.45">
      <c r="A54" s="19">
        <v>38</v>
      </c>
      <c r="B54" s="19" t="s">
        <v>587</v>
      </c>
      <c r="C54" s="19" t="s">
        <v>625</v>
      </c>
      <c r="D54" s="19">
        <v>1951</v>
      </c>
      <c r="E54" s="19">
        <v>5</v>
      </c>
      <c r="F54" s="19">
        <v>2</v>
      </c>
      <c r="G54" s="23">
        <v>2788.3</v>
      </c>
      <c r="H54" s="23">
        <v>2563.4</v>
      </c>
      <c r="I54" s="23">
        <v>1808.2</v>
      </c>
      <c r="J54" s="19" t="s">
        <v>364</v>
      </c>
      <c r="K54" s="19" t="s">
        <v>423</v>
      </c>
      <c r="L54" s="19" t="s">
        <v>366</v>
      </c>
      <c r="M54" s="37"/>
      <c r="N54" s="28">
        <v>865974.06833000004</v>
      </c>
      <c r="O54" s="28">
        <v>5815943.5499999998</v>
      </c>
      <c r="P54" s="28">
        <v>1120044.8184799999</v>
      </c>
      <c r="Q54" s="28">
        <v>1190789.14717</v>
      </c>
      <c r="R54" s="28"/>
      <c r="S54" s="28">
        <v>1216963.77</v>
      </c>
      <c r="T54" s="28"/>
      <c r="U54" s="28"/>
      <c r="V54" s="28">
        <v>7174916.3546200003</v>
      </c>
      <c r="W54" s="28"/>
      <c r="X54" s="28"/>
      <c r="Y54" s="28"/>
      <c r="Z54" s="28">
        <v>521538.95</v>
      </c>
      <c r="AA54" s="28">
        <f t="shared" si="4"/>
        <v>17906170.658599999</v>
      </c>
      <c r="AB54" s="28"/>
      <c r="AC54" s="28"/>
      <c r="AD54" s="28">
        <f>AA54</f>
        <v>17906170.658599999</v>
      </c>
      <c r="AE54" s="37"/>
      <c r="AF54" s="19">
        <v>2020</v>
      </c>
      <c r="AG54" s="19">
        <v>2022</v>
      </c>
    </row>
    <row r="55" spans="1:33" ht="84.9" hidden="1" customHeight="1" x14ac:dyDescent="0.45">
      <c r="A55" s="19">
        <v>39</v>
      </c>
      <c r="B55" s="19" t="s">
        <v>587</v>
      </c>
      <c r="C55" s="19" t="s">
        <v>626</v>
      </c>
      <c r="D55" s="19">
        <v>1976</v>
      </c>
      <c r="E55" s="19">
        <v>9</v>
      </c>
      <c r="F55" s="19">
        <v>1</v>
      </c>
      <c r="G55" s="23">
        <v>3694.1</v>
      </c>
      <c r="H55" s="23">
        <v>3085.5</v>
      </c>
      <c r="I55" s="19" t="s">
        <v>364</v>
      </c>
      <c r="J55" s="19" t="s">
        <v>364</v>
      </c>
      <c r="K55" s="19" t="s">
        <v>365</v>
      </c>
      <c r="L55" s="19" t="s">
        <v>366</v>
      </c>
      <c r="M55" s="37"/>
      <c r="N55" s="28"/>
      <c r="O55" s="28"/>
      <c r="P55" s="28"/>
      <c r="Q55" s="28"/>
      <c r="R55" s="28"/>
      <c r="S55" s="28"/>
      <c r="T55" s="28"/>
      <c r="U55" s="28">
        <v>2400000</v>
      </c>
      <c r="V55" s="28"/>
      <c r="W55" s="28"/>
      <c r="X55" s="28"/>
      <c r="Y55" s="28"/>
      <c r="Z55" s="28"/>
      <c r="AA55" s="28">
        <f t="shared" si="4"/>
        <v>2400000</v>
      </c>
      <c r="AB55" s="28">
        <v>480000</v>
      </c>
      <c r="AC55" s="28"/>
      <c r="AD55" s="28">
        <v>1920000</v>
      </c>
      <c r="AE55" s="37"/>
      <c r="AF55" s="19">
        <v>2020</v>
      </c>
      <c r="AG55" s="19">
        <v>2022</v>
      </c>
    </row>
    <row r="56" spans="1:33" ht="84.9" hidden="1" customHeight="1" x14ac:dyDescent="0.45">
      <c r="A56" s="19">
        <v>40</v>
      </c>
      <c r="B56" s="19" t="s">
        <v>587</v>
      </c>
      <c r="C56" s="19" t="s">
        <v>627</v>
      </c>
      <c r="D56" s="19">
        <v>1981</v>
      </c>
      <c r="E56" s="19">
        <v>9</v>
      </c>
      <c r="F56" s="19">
        <v>1</v>
      </c>
      <c r="G56" s="23">
        <v>4343.3999999999996</v>
      </c>
      <c r="H56" s="23">
        <v>3305.8</v>
      </c>
      <c r="I56" s="19" t="s">
        <v>364</v>
      </c>
      <c r="J56" s="19" t="s">
        <v>364</v>
      </c>
      <c r="K56" s="19" t="s">
        <v>365</v>
      </c>
      <c r="L56" s="19" t="s">
        <v>366</v>
      </c>
      <c r="M56" s="37"/>
      <c r="N56" s="28"/>
      <c r="O56" s="28"/>
      <c r="P56" s="28"/>
      <c r="Q56" s="28"/>
      <c r="R56" s="28"/>
      <c r="S56" s="28"/>
      <c r="T56" s="28"/>
      <c r="U56" s="28">
        <v>2400000</v>
      </c>
      <c r="V56" s="28"/>
      <c r="W56" s="28"/>
      <c r="X56" s="28"/>
      <c r="Y56" s="28"/>
      <c r="Z56" s="28"/>
      <c r="AA56" s="28">
        <f t="shared" si="4"/>
        <v>2400000</v>
      </c>
      <c r="AB56" s="28">
        <v>480000</v>
      </c>
      <c r="AC56" s="28"/>
      <c r="AD56" s="28">
        <v>1920000</v>
      </c>
      <c r="AE56" s="37"/>
      <c r="AF56" s="19">
        <v>2020</v>
      </c>
      <c r="AG56" s="19">
        <v>2022</v>
      </c>
    </row>
    <row r="57" spans="1:33" ht="84.9" hidden="1" customHeight="1" x14ac:dyDescent="0.45">
      <c r="A57" s="19">
        <v>41</v>
      </c>
      <c r="B57" s="19" t="s">
        <v>587</v>
      </c>
      <c r="C57" s="19" t="s">
        <v>628</v>
      </c>
      <c r="D57" s="19">
        <v>1960</v>
      </c>
      <c r="E57" s="19">
        <v>5</v>
      </c>
      <c r="F57" s="19">
        <v>4</v>
      </c>
      <c r="G57" s="23">
        <v>3466.9</v>
      </c>
      <c r="H57" s="23">
        <v>3142.2</v>
      </c>
      <c r="I57" s="19">
        <v>2031.9</v>
      </c>
      <c r="J57" s="19" t="s">
        <v>364</v>
      </c>
      <c r="K57" s="19" t="s">
        <v>365</v>
      </c>
      <c r="L57" s="19" t="s">
        <v>366</v>
      </c>
      <c r="M57" s="37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>
        <v>7322006.9100000001</v>
      </c>
      <c r="Y57" s="28"/>
      <c r="Z57" s="28">
        <v>219660.21</v>
      </c>
      <c r="AA57" s="28">
        <f t="shared" si="4"/>
        <v>7541667.1200000001</v>
      </c>
      <c r="AB57" s="28"/>
      <c r="AC57" s="28"/>
      <c r="AD57" s="28">
        <v>7541667.1200000001</v>
      </c>
      <c r="AE57" s="37"/>
      <c r="AF57" s="19">
        <v>2020</v>
      </c>
      <c r="AG57" s="19">
        <v>2022</v>
      </c>
    </row>
    <row r="58" spans="1:33" ht="84.9" hidden="1" customHeight="1" x14ac:dyDescent="0.45">
      <c r="A58" s="19">
        <v>42</v>
      </c>
      <c r="B58" s="19" t="s">
        <v>587</v>
      </c>
      <c r="C58" s="19" t="s">
        <v>629</v>
      </c>
      <c r="D58" s="19">
        <v>1976</v>
      </c>
      <c r="E58" s="19">
        <v>9</v>
      </c>
      <c r="F58" s="19">
        <v>2</v>
      </c>
      <c r="G58" s="23">
        <v>4494</v>
      </c>
      <c r="H58" s="23">
        <v>3791.2</v>
      </c>
      <c r="I58" s="19" t="s">
        <v>364</v>
      </c>
      <c r="J58" s="19" t="s">
        <v>364</v>
      </c>
      <c r="K58" s="19" t="s">
        <v>365</v>
      </c>
      <c r="L58" s="19" t="s">
        <v>366</v>
      </c>
      <c r="M58" s="37"/>
      <c r="N58" s="28"/>
      <c r="O58" s="28"/>
      <c r="P58" s="28"/>
      <c r="Q58" s="28"/>
      <c r="R58" s="28"/>
      <c r="S58" s="28"/>
      <c r="T58" s="28"/>
      <c r="U58" s="28">
        <v>4800000</v>
      </c>
      <c r="V58" s="28"/>
      <c r="W58" s="28"/>
      <c r="X58" s="28"/>
      <c r="Y58" s="28"/>
      <c r="Z58" s="28"/>
      <c r="AA58" s="28">
        <f t="shared" si="4"/>
        <v>4800000</v>
      </c>
      <c r="AB58" s="28">
        <v>960000</v>
      </c>
      <c r="AC58" s="28"/>
      <c r="AD58" s="28">
        <v>3840000</v>
      </c>
      <c r="AE58" s="37"/>
      <c r="AF58" s="19">
        <v>2020</v>
      </c>
      <c r="AG58" s="19">
        <v>2022</v>
      </c>
    </row>
    <row r="59" spans="1:33" ht="84.9" hidden="1" customHeight="1" x14ac:dyDescent="0.45">
      <c r="A59" s="19">
        <v>43</v>
      </c>
      <c r="B59" s="19" t="s">
        <v>587</v>
      </c>
      <c r="C59" s="19" t="s">
        <v>630</v>
      </c>
      <c r="D59" s="19">
        <v>1976</v>
      </c>
      <c r="E59" s="19">
        <v>9</v>
      </c>
      <c r="F59" s="19">
        <v>2</v>
      </c>
      <c r="G59" s="23">
        <v>6095.6</v>
      </c>
      <c r="H59" s="23">
        <v>5289.2</v>
      </c>
      <c r="I59" s="19" t="s">
        <v>364</v>
      </c>
      <c r="J59" s="19" t="s">
        <v>364</v>
      </c>
      <c r="K59" s="19" t="s">
        <v>365</v>
      </c>
      <c r="L59" s="19" t="s">
        <v>366</v>
      </c>
      <c r="M59" s="37"/>
      <c r="N59" s="28"/>
      <c r="O59" s="28"/>
      <c r="P59" s="28"/>
      <c r="Q59" s="28"/>
      <c r="R59" s="28"/>
      <c r="S59" s="28"/>
      <c r="T59" s="28"/>
      <c r="U59" s="28">
        <v>4800000</v>
      </c>
      <c r="V59" s="28"/>
      <c r="W59" s="28"/>
      <c r="X59" s="28"/>
      <c r="Y59" s="28"/>
      <c r="Z59" s="28"/>
      <c r="AA59" s="28">
        <f t="shared" si="4"/>
        <v>4800000</v>
      </c>
      <c r="AB59" s="28">
        <v>960000</v>
      </c>
      <c r="AC59" s="28"/>
      <c r="AD59" s="28">
        <v>3840000</v>
      </c>
      <c r="AE59" s="37"/>
      <c r="AF59" s="19">
        <v>2020</v>
      </c>
      <c r="AG59" s="19">
        <v>2022</v>
      </c>
    </row>
    <row r="60" spans="1:33" ht="84.9" hidden="1" customHeight="1" x14ac:dyDescent="0.45">
      <c r="A60" s="19">
        <v>44</v>
      </c>
      <c r="B60" s="19" t="s">
        <v>587</v>
      </c>
      <c r="C60" s="19" t="s">
        <v>631</v>
      </c>
      <c r="D60" s="19">
        <v>1977</v>
      </c>
      <c r="E60" s="19">
        <v>9</v>
      </c>
      <c r="F60" s="19">
        <v>6</v>
      </c>
      <c r="G60" s="23">
        <v>13305.6</v>
      </c>
      <c r="H60" s="23">
        <v>11939.93</v>
      </c>
      <c r="I60" s="19" t="s">
        <v>364</v>
      </c>
      <c r="J60" s="19" t="s">
        <v>364</v>
      </c>
      <c r="K60" s="19" t="s">
        <v>365</v>
      </c>
      <c r="L60" s="19" t="s">
        <v>366</v>
      </c>
      <c r="M60" s="37"/>
      <c r="N60" s="28"/>
      <c r="O60" s="28"/>
      <c r="P60" s="28"/>
      <c r="Q60" s="28"/>
      <c r="R60" s="28"/>
      <c r="S60" s="28"/>
      <c r="T60" s="28"/>
      <c r="U60" s="28">
        <v>14400000</v>
      </c>
      <c r="V60" s="28"/>
      <c r="W60" s="28"/>
      <c r="X60" s="28"/>
      <c r="Y60" s="28"/>
      <c r="Z60" s="28"/>
      <c r="AA60" s="28">
        <f t="shared" si="4"/>
        <v>14400000</v>
      </c>
      <c r="AB60" s="28">
        <v>2880000</v>
      </c>
      <c r="AC60" s="28"/>
      <c r="AD60" s="28">
        <v>11520000</v>
      </c>
      <c r="AE60" s="37"/>
      <c r="AF60" s="19">
        <v>2020</v>
      </c>
      <c r="AG60" s="19">
        <v>2022</v>
      </c>
    </row>
    <row r="61" spans="1:33" ht="84.9" hidden="1" customHeight="1" x14ac:dyDescent="0.45">
      <c r="A61" s="19">
        <v>45</v>
      </c>
      <c r="B61" s="19" t="s">
        <v>587</v>
      </c>
      <c r="C61" s="19" t="s">
        <v>632</v>
      </c>
      <c r="D61" s="19">
        <v>1977</v>
      </c>
      <c r="E61" s="19">
        <v>9</v>
      </c>
      <c r="F61" s="19">
        <v>2</v>
      </c>
      <c r="G61" s="23">
        <v>6093.6</v>
      </c>
      <c r="H61" s="23">
        <v>5292.5</v>
      </c>
      <c r="I61" s="19" t="s">
        <v>364</v>
      </c>
      <c r="J61" s="19" t="s">
        <v>364</v>
      </c>
      <c r="K61" s="19" t="s">
        <v>365</v>
      </c>
      <c r="L61" s="19" t="s">
        <v>366</v>
      </c>
      <c r="M61" s="37"/>
      <c r="N61" s="28"/>
      <c r="O61" s="28"/>
      <c r="P61" s="28"/>
      <c r="Q61" s="28"/>
      <c r="R61" s="28"/>
      <c r="S61" s="28"/>
      <c r="T61" s="28"/>
      <c r="U61" s="28">
        <v>4800000</v>
      </c>
      <c r="V61" s="28"/>
      <c r="W61" s="28"/>
      <c r="X61" s="28"/>
      <c r="Y61" s="28"/>
      <c r="Z61" s="28"/>
      <c r="AA61" s="28">
        <f t="shared" si="4"/>
        <v>4800000</v>
      </c>
      <c r="AB61" s="28">
        <v>960000</v>
      </c>
      <c r="AC61" s="28"/>
      <c r="AD61" s="28">
        <v>3840000</v>
      </c>
      <c r="AE61" s="37"/>
      <c r="AF61" s="19">
        <v>2020</v>
      </c>
      <c r="AG61" s="19">
        <v>2022</v>
      </c>
    </row>
    <row r="62" spans="1:33" ht="84.9" hidden="1" customHeight="1" x14ac:dyDescent="0.45">
      <c r="A62" s="19">
        <v>46</v>
      </c>
      <c r="B62" s="19" t="s">
        <v>587</v>
      </c>
      <c r="C62" s="19" t="s">
        <v>633</v>
      </c>
      <c r="D62" s="19">
        <v>1977</v>
      </c>
      <c r="E62" s="19">
        <v>9</v>
      </c>
      <c r="F62" s="19">
        <v>2</v>
      </c>
      <c r="G62" s="23">
        <v>6133.9</v>
      </c>
      <c r="H62" s="23">
        <v>5574.77</v>
      </c>
      <c r="I62" s="19" t="s">
        <v>364</v>
      </c>
      <c r="J62" s="19" t="s">
        <v>364</v>
      </c>
      <c r="K62" s="19" t="s">
        <v>365</v>
      </c>
      <c r="L62" s="19" t="s">
        <v>366</v>
      </c>
      <c r="M62" s="37"/>
      <c r="N62" s="28"/>
      <c r="O62" s="28"/>
      <c r="P62" s="28"/>
      <c r="Q62" s="28"/>
      <c r="R62" s="28"/>
      <c r="S62" s="28"/>
      <c r="T62" s="28"/>
      <c r="U62" s="28">
        <v>4800000</v>
      </c>
      <c r="V62" s="28"/>
      <c r="W62" s="28"/>
      <c r="X62" s="28"/>
      <c r="Y62" s="28"/>
      <c r="Z62" s="28"/>
      <c r="AA62" s="28">
        <f t="shared" si="4"/>
        <v>4800000</v>
      </c>
      <c r="AB62" s="28">
        <v>960000</v>
      </c>
      <c r="AC62" s="28"/>
      <c r="AD62" s="28">
        <v>3840000</v>
      </c>
      <c r="AE62" s="37"/>
      <c r="AF62" s="19">
        <v>2020</v>
      </c>
      <c r="AG62" s="19">
        <v>2022</v>
      </c>
    </row>
    <row r="63" spans="1:33" ht="84.9" hidden="1" customHeight="1" x14ac:dyDescent="0.45">
      <c r="A63" s="19">
        <v>47</v>
      </c>
      <c r="B63" s="19" t="s">
        <v>587</v>
      </c>
      <c r="C63" s="19" t="s">
        <v>634</v>
      </c>
      <c r="D63" s="19">
        <v>1976</v>
      </c>
      <c r="E63" s="19">
        <v>9</v>
      </c>
      <c r="F63" s="19">
        <v>2</v>
      </c>
      <c r="G63" s="23">
        <v>4539</v>
      </c>
      <c r="H63" s="23">
        <v>4076.83</v>
      </c>
      <c r="I63" s="19" t="s">
        <v>364</v>
      </c>
      <c r="J63" s="19" t="s">
        <v>364</v>
      </c>
      <c r="K63" s="19" t="s">
        <v>365</v>
      </c>
      <c r="L63" s="19" t="s">
        <v>366</v>
      </c>
      <c r="M63" s="37"/>
      <c r="N63" s="28"/>
      <c r="O63" s="28"/>
      <c r="P63" s="28"/>
      <c r="Q63" s="28"/>
      <c r="R63" s="28"/>
      <c r="S63" s="28"/>
      <c r="T63" s="28"/>
      <c r="U63" s="28">
        <v>2400000</v>
      </c>
      <c r="V63" s="28"/>
      <c r="W63" s="28"/>
      <c r="X63" s="28"/>
      <c r="Y63" s="28"/>
      <c r="Z63" s="28"/>
      <c r="AA63" s="28">
        <f t="shared" si="4"/>
        <v>2400000</v>
      </c>
      <c r="AB63" s="28">
        <v>480000</v>
      </c>
      <c r="AC63" s="28"/>
      <c r="AD63" s="28">
        <v>1920000</v>
      </c>
      <c r="AE63" s="37"/>
      <c r="AF63" s="19">
        <v>2020</v>
      </c>
      <c r="AG63" s="19">
        <v>2022</v>
      </c>
    </row>
    <row r="64" spans="1:33" ht="84.9" hidden="1" customHeight="1" x14ac:dyDescent="0.45">
      <c r="A64" s="19">
        <v>48</v>
      </c>
      <c r="B64" s="19" t="s">
        <v>587</v>
      </c>
      <c r="C64" s="19" t="s">
        <v>635</v>
      </c>
      <c r="D64" s="19">
        <v>1976</v>
      </c>
      <c r="E64" s="19">
        <v>9</v>
      </c>
      <c r="F64" s="19">
        <v>1</v>
      </c>
      <c r="G64" s="23">
        <v>1670.6</v>
      </c>
      <c r="H64" s="23">
        <v>1368.2</v>
      </c>
      <c r="I64" s="19" t="s">
        <v>364</v>
      </c>
      <c r="J64" s="19" t="s">
        <v>364</v>
      </c>
      <c r="K64" s="19" t="s">
        <v>365</v>
      </c>
      <c r="L64" s="19" t="s">
        <v>366</v>
      </c>
      <c r="M64" s="37"/>
      <c r="N64" s="28"/>
      <c r="O64" s="28"/>
      <c r="P64" s="28"/>
      <c r="Q64" s="28"/>
      <c r="R64" s="28"/>
      <c r="S64" s="28"/>
      <c r="T64" s="28"/>
      <c r="U64" s="28">
        <v>2400000</v>
      </c>
      <c r="V64" s="28"/>
      <c r="W64" s="28"/>
      <c r="X64" s="28"/>
      <c r="Y64" s="28"/>
      <c r="Z64" s="28"/>
      <c r="AA64" s="28">
        <f t="shared" si="4"/>
        <v>2400000</v>
      </c>
      <c r="AB64" s="28">
        <v>480000</v>
      </c>
      <c r="AC64" s="28"/>
      <c r="AD64" s="28">
        <v>1920000</v>
      </c>
      <c r="AE64" s="37"/>
      <c r="AF64" s="19">
        <v>2020</v>
      </c>
      <c r="AG64" s="19">
        <v>2022</v>
      </c>
    </row>
    <row r="65" spans="1:33" ht="84.9" hidden="1" customHeight="1" x14ac:dyDescent="0.45">
      <c r="A65" s="19">
        <v>49</v>
      </c>
      <c r="B65" s="19" t="s">
        <v>587</v>
      </c>
      <c r="C65" s="19" t="s">
        <v>636</v>
      </c>
      <c r="D65" s="19">
        <v>1977</v>
      </c>
      <c r="E65" s="19">
        <v>9</v>
      </c>
      <c r="F65" s="19">
        <v>2</v>
      </c>
      <c r="G65" s="23">
        <v>6074.8</v>
      </c>
      <c r="H65" s="23">
        <v>5517.53</v>
      </c>
      <c r="I65" s="19" t="s">
        <v>364</v>
      </c>
      <c r="J65" s="19" t="s">
        <v>364</v>
      </c>
      <c r="K65" s="19" t="s">
        <v>365</v>
      </c>
      <c r="L65" s="19" t="s">
        <v>366</v>
      </c>
      <c r="M65" s="37"/>
      <c r="N65" s="28"/>
      <c r="O65" s="28"/>
      <c r="P65" s="28"/>
      <c r="Q65" s="28"/>
      <c r="R65" s="28"/>
      <c r="S65" s="28"/>
      <c r="T65" s="28"/>
      <c r="U65" s="28">
        <v>4800000</v>
      </c>
      <c r="V65" s="28"/>
      <c r="W65" s="28"/>
      <c r="X65" s="28"/>
      <c r="Y65" s="28"/>
      <c r="Z65" s="28"/>
      <c r="AA65" s="28">
        <f t="shared" si="4"/>
        <v>4800000</v>
      </c>
      <c r="AB65" s="28">
        <v>960000</v>
      </c>
      <c r="AC65" s="28"/>
      <c r="AD65" s="28">
        <v>3840000</v>
      </c>
      <c r="AE65" s="37"/>
      <c r="AF65" s="19">
        <v>2020</v>
      </c>
      <c r="AG65" s="19">
        <v>2022</v>
      </c>
    </row>
    <row r="66" spans="1:33" ht="84.9" hidden="1" customHeight="1" x14ac:dyDescent="0.45">
      <c r="A66" s="19">
        <v>50</v>
      </c>
      <c r="B66" s="19" t="s">
        <v>587</v>
      </c>
      <c r="C66" s="19" t="s">
        <v>637</v>
      </c>
      <c r="D66" s="19">
        <v>1980</v>
      </c>
      <c r="E66" s="19">
        <v>9</v>
      </c>
      <c r="F66" s="19">
        <v>1</v>
      </c>
      <c r="G66" s="23">
        <v>2869.7</v>
      </c>
      <c r="H66" s="23">
        <v>2535.87</v>
      </c>
      <c r="I66" s="19" t="s">
        <v>364</v>
      </c>
      <c r="J66" s="19" t="s">
        <v>364</v>
      </c>
      <c r="K66" s="19" t="s">
        <v>365</v>
      </c>
      <c r="L66" s="19" t="s">
        <v>366</v>
      </c>
      <c r="M66" s="37"/>
      <c r="N66" s="28"/>
      <c r="O66" s="28"/>
      <c r="P66" s="28"/>
      <c r="Q66" s="28"/>
      <c r="R66" s="28"/>
      <c r="S66" s="28"/>
      <c r="T66" s="28"/>
      <c r="U66" s="28">
        <v>2400000</v>
      </c>
      <c r="V66" s="28"/>
      <c r="W66" s="28"/>
      <c r="X66" s="28"/>
      <c r="Y66" s="28"/>
      <c r="Z66" s="28"/>
      <c r="AA66" s="28">
        <f t="shared" si="4"/>
        <v>2400000</v>
      </c>
      <c r="AB66" s="28">
        <v>480000</v>
      </c>
      <c r="AC66" s="28"/>
      <c r="AD66" s="28">
        <v>1920000</v>
      </c>
      <c r="AE66" s="37"/>
      <c r="AF66" s="19">
        <v>2020</v>
      </c>
      <c r="AG66" s="19">
        <v>2022</v>
      </c>
    </row>
    <row r="67" spans="1:33" ht="84.9" hidden="1" customHeight="1" x14ac:dyDescent="0.45">
      <c r="A67" s="19">
        <v>51</v>
      </c>
      <c r="B67" s="19" t="s">
        <v>587</v>
      </c>
      <c r="C67" s="19" t="s">
        <v>638</v>
      </c>
      <c r="D67" s="19">
        <v>1979</v>
      </c>
      <c r="E67" s="19">
        <v>9</v>
      </c>
      <c r="F67" s="19">
        <v>2</v>
      </c>
      <c r="G67" s="23">
        <v>4633.5</v>
      </c>
      <c r="H67" s="23">
        <v>3760.5</v>
      </c>
      <c r="I67" s="19" t="s">
        <v>364</v>
      </c>
      <c r="J67" s="19" t="s">
        <v>364</v>
      </c>
      <c r="K67" s="19" t="s">
        <v>365</v>
      </c>
      <c r="L67" s="19" t="s">
        <v>366</v>
      </c>
      <c r="M67" s="37"/>
      <c r="N67" s="28"/>
      <c r="O67" s="28"/>
      <c r="P67" s="28"/>
      <c r="Q67" s="28"/>
      <c r="R67" s="28"/>
      <c r="S67" s="28"/>
      <c r="T67" s="28"/>
      <c r="U67" s="28">
        <v>4800000</v>
      </c>
      <c r="V67" s="28"/>
      <c r="W67" s="28"/>
      <c r="X67" s="28"/>
      <c r="Y67" s="28"/>
      <c r="Z67" s="28"/>
      <c r="AA67" s="28">
        <f t="shared" si="4"/>
        <v>4800000</v>
      </c>
      <c r="AB67" s="28">
        <v>960000</v>
      </c>
      <c r="AC67" s="28"/>
      <c r="AD67" s="28">
        <v>3840000</v>
      </c>
      <c r="AE67" s="37"/>
      <c r="AF67" s="19">
        <v>2020</v>
      </c>
      <c r="AG67" s="19">
        <v>2022</v>
      </c>
    </row>
    <row r="68" spans="1:33" ht="84.9" hidden="1" customHeight="1" x14ac:dyDescent="0.45">
      <c r="A68" s="19">
        <v>52</v>
      </c>
      <c r="B68" s="19" t="s">
        <v>587</v>
      </c>
      <c r="C68" s="19" t="s">
        <v>639</v>
      </c>
      <c r="D68" s="19">
        <v>1981</v>
      </c>
      <c r="E68" s="19">
        <v>9</v>
      </c>
      <c r="F68" s="19">
        <v>2</v>
      </c>
      <c r="G68" s="23">
        <v>4090.9</v>
      </c>
      <c r="H68" s="23">
        <v>3425.93</v>
      </c>
      <c r="I68" s="19" t="s">
        <v>364</v>
      </c>
      <c r="J68" s="19" t="s">
        <v>364</v>
      </c>
      <c r="K68" s="19" t="s">
        <v>365</v>
      </c>
      <c r="L68" s="19" t="s">
        <v>366</v>
      </c>
      <c r="M68" s="37"/>
      <c r="N68" s="28"/>
      <c r="O68" s="28"/>
      <c r="P68" s="28"/>
      <c r="Q68" s="28"/>
      <c r="R68" s="28"/>
      <c r="S68" s="28"/>
      <c r="T68" s="28"/>
      <c r="U68" s="28">
        <v>4800000</v>
      </c>
      <c r="V68" s="28"/>
      <c r="W68" s="28"/>
      <c r="X68" s="28"/>
      <c r="Y68" s="28"/>
      <c r="Z68" s="28"/>
      <c r="AA68" s="28">
        <f t="shared" si="4"/>
        <v>4800000</v>
      </c>
      <c r="AB68" s="28">
        <v>960000</v>
      </c>
      <c r="AC68" s="28"/>
      <c r="AD68" s="28">
        <v>3840000</v>
      </c>
      <c r="AE68" s="37"/>
      <c r="AF68" s="19">
        <v>2020</v>
      </c>
      <c r="AG68" s="19">
        <v>2022</v>
      </c>
    </row>
    <row r="69" spans="1:33" ht="84.9" hidden="1" customHeight="1" x14ac:dyDescent="0.45">
      <c r="A69" s="19">
        <v>53</v>
      </c>
      <c r="B69" s="19" t="s">
        <v>587</v>
      </c>
      <c r="C69" s="19" t="s">
        <v>640</v>
      </c>
      <c r="D69" s="19">
        <v>1980</v>
      </c>
      <c r="E69" s="19">
        <v>9</v>
      </c>
      <c r="F69" s="19">
        <v>1</v>
      </c>
      <c r="G69" s="23">
        <v>2913.5</v>
      </c>
      <c r="H69" s="23">
        <v>2417.9</v>
      </c>
      <c r="I69" s="19" t="s">
        <v>364</v>
      </c>
      <c r="J69" s="19" t="s">
        <v>364</v>
      </c>
      <c r="K69" s="19" t="s">
        <v>365</v>
      </c>
      <c r="L69" s="19" t="s">
        <v>366</v>
      </c>
      <c r="M69" s="37"/>
      <c r="N69" s="28"/>
      <c r="O69" s="28"/>
      <c r="P69" s="28"/>
      <c r="Q69" s="28"/>
      <c r="R69" s="28"/>
      <c r="S69" s="28"/>
      <c r="T69" s="28"/>
      <c r="U69" s="28">
        <v>2400000</v>
      </c>
      <c r="V69" s="28"/>
      <c r="W69" s="28"/>
      <c r="X69" s="28"/>
      <c r="Y69" s="28"/>
      <c r="Z69" s="28"/>
      <c r="AA69" s="28">
        <f t="shared" si="4"/>
        <v>2400000</v>
      </c>
      <c r="AB69" s="28">
        <v>480000</v>
      </c>
      <c r="AC69" s="28"/>
      <c r="AD69" s="28">
        <v>1920000</v>
      </c>
      <c r="AE69" s="37"/>
      <c r="AF69" s="19">
        <v>2020</v>
      </c>
      <c r="AG69" s="19">
        <v>2022</v>
      </c>
    </row>
    <row r="70" spans="1:33" ht="84.9" hidden="1" customHeight="1" x14ac:dyDescent="0.45">
      <c r="A70" s="19">
        <v>54</v>
      </c>
      <c r="B70" s="19" t="s">
        <v>587</v>
      </c>
      <c r="C70" s="19" t="s">
        <v>641</v>
      </c>
      <c r="D70" s="19">
        <v>1980</v>
      </c>
      <c r="E70" s="19">
        <v>9</v>
      </c>
      <c r="F70" s="19">
        <v>2</v>
      </c>
      <c r="G70" s="23">
        <v>4715.1000000000004</v>
      </c>
      <c r="H70" s="23">
        <v>3824.9</v>
      </c>
      <c r="I70" s="19" t="s">
        <v>364</v>
      </c>
      <c r="J70" s="19" t="s">
        <v>364</v>
      </c>
      <c r="K70" s="19" t="s">
        <v>365</v>
      </c>
      <c r="L70" s="19" t="s">
        <v>366</v>
      </c>
      <c r="M70" s="37"/>
      <c r="N70" s="28"/>
      <c r="O70" s="28"/>
      <c r="P70" s="28"/>
      <c r="Q70" s="28"/>
      <c r="R70" s="28"/>
      <c r="S70" s="28"/>
      <c r="T70" s="28"/>
      <c r="U70" s="28">
        <v>4800000</v>
      </c>
      <c r="V70" s="28"/>
      <c r="W70" s="28"/>
      <c r="X70" s="28"/>
      <c r="Y70" s="28"/>
      <c r="Z70" s="28"/>
      <c r="AA70" s="28">
        <f t="shared" si="4"/>
        <v>4800000</v>
      </c>
      <c r="AB70" s="28">
        <v>960000</v>
      </c>
      <c r="AC70" s="28"/>
      <c r="AD70" s="28">
        <v>3840000</v>
      </c>
      <c r="AE70" s="37"/>
      <c r="AF70" s="19">
        <v>2020</v>
      </c>
      <c r="AG70" s="19">
        <v>2022</v>
      </c>
    </row>
    <row r="71" spans="1:33" ht="84.9" hidden="1" customHeight="1" x14ac:dyDescent="0.45">
      <c r="A71" s="19">
        <v>55</v>
      </c>
      <c r="B71" s="19" t="s">
        <v>587</v>
      </c>
      <c r="C71" s="19" t="s">
        <v>642</v>
      </c>
      <c r="D71" s="19">
        <v>1980</v>
      </c>
      <c r="E71" s="19">
        <v>9</v>
      </c>
      <c r="F71" s="19">
        <v>2</v>
      </c>
      <c r="G71" s="23">
        <v>4733.8</v>
      </c>
      <c r="H71" s="23">
        <v>4128.3500000000004</v>
      </c>
      <c r="I71" s="19" t="s">
        <v>364</v>
      </c>
      <c r="J71" s="19" t="s">
        <v>364</v>
      </c>
      <c r="K71" s="19" t="s">
        <v>365</v>
      </c>
      <c r="L71" s="19" t="s">
        <v>366</v>
      </c>
      <c r="M71" s="37"/>
      <c r="N71" s="28"/>
      <c r="O71" s="28"/>
      <c r="P71" s="28"/>
      <c r="Q71" s="28"/>
      <c r="R71" s="28"/>
      <c r="S71" s="28"/>
      <c r="T71" s="28"/>
      <c r="U71" s="28">
        <v>4800000</v>
      </c>
      <c r="V71" s="28"/>
      <c r="W71" s="28"/>
      <c r="X71" s="28"/>
      <c r="Y71" s="28"/>
      <c r="Z71" s="28"/>
      <c r="AA71" s="28">
        <f t="shared" si="4"/>
        <v>4800000</v>
      </c>
      <c r="AB71" s="28">
        <v>960000</v>
      </c>
      <c r="AC71" s="28"/>
      <c r="AD71" s="28">
        <v>3840000</v>
      </c>
      <c r="AE71" s="37"/>
      <c r="AF71" s="19">
        <v>2020</v>
      </c>
      <c r="AG71" s="19">
        <v>2022</v>
      </c>
    </row>
    <row r="72" spans="1:33" ht="84.9" hidden="1" customHeight="1" x14ac:dyDescent="0.45">
      <c r="A72" s="19">
        <v>56</v>
      </c>
      <c r="B72" s="19" t="s">
        <v>587</v>
      </c>
      <c r="C72" s="19" t="s">
        <v>643</v>
      </c>
      <c r="D72" s="19">
        <v>1980</v>
      </c>
      <c r="E72" s="19">
        <v>9</v>
      </c>
      <c r="F72" s="19">
        <v>2</v>
      </c>
      <c r="G72" s="23">
        <v>4718</v>
      </c>
      <c r="H72" s="23">
        <v>3842.9</v>
      </c>
      <c r="I72" s="19" t="s">
        <v>364</v>
      </c>
      <c r="J72" s="19" t="s">
        <v>364</v>
      </c>
      <c r="K72" s="19" t="s">
        <v>365</v>
      </c>
      <c r="L72" s="19" t="s">
        <v>366</v>
      </c>
      <c r="M72" s="37"/>
      <c r="N72" s="28"/>
      <c r="O72" s="28"/>
      <c r="P72" s="28"/>
      <c r="Q72" s="28"/>
      <c r="R72" s="28"/>
      <c r="S72" s="28"/>
      <c r="T72" s="28"/>
      <c r="U72" s="28">
        <v>4800000</v>
      </c>
      <c r="V72" s="28"/>
      <c r="W72" s="28"/>
      <c r="X72" s="28"/>
      <c r="Y72" s="28"/>
      <c r="Z72" s="28"/>
      <c r="AA72" s="28">
        <f t="shared" si="4"/>
        <v>4800000</v>
      </c>
      <c r="AB72" s="28">
        <v>960000</v>
      </c>
      <c r="AC72" s="28"/>
      <c r="AD72" s="28">
        <v>3840000</v>
      </c>
      <c r="AE72" s="37"/>
      <c r="AF72" s="19">
        <v>2020</v>
      </c>
      <c r="AG72" s="19">
        <v>2022</v>
      </c>
    </row>
    <row r="73" spans="1:33" ht="84.9" hidden="1" customHeight="1" x14ac:dyDescent="0.45">
      <c r="A73" s="19">
        <v>57</v>
      </c>
      <c r="B73" s="19" t="s">
        <v>587</v>
      </c>
      <c r="C73" s="19" t="s">
        <v>644</v>
      </c>
      <c r="D73" s="19">
        <v>1979</v>
      </c>
      <c r="E73" s="19">
        <v>9</v>
      </c>
      <c r="F73" s="19">
        <v>1</v>
      </c>
      <c r="G73" s="23">
        <v>1773.4</v>
      </c>
      <c r="H73" s="23">
        <v>1367.8</v>
      </c>
      <c r="I73" s="19" t="s">
        <v>364</v>
      </c>
      <c r="J73" s="19" t="s">
        <v>364</v>
      </c>
      <c r="K73" s="19" t="s">
        <v>365</v>
      </c>
      <c r="L73" s="19" t="s">
        <v>366</v>
      </c>
      <c r="M73" s="37"/>
      <c r="N73" s="28"/>
      <c r="O73" s="28"/>
      <c r="P73" s="28"/>
      <c r="Q73" s="28"/>
      <c r="R73" s="28"/>
      <c r="S73" s="28"/>
      <c r="T73" s="28"/>
      <c r="U73" s="28">
        <v>2400000</v>
      </c>
      <c r="V73" s="28"/>
      <c r="W73" s="28"/>
      <c r="X73" s="28"/>
      <c r="Y73" s="28"/>
      <c r="Z73" s="28"/>
      <c r="AA73" s="28">
        <f t="shared" si="4"/>
        <v>2400000</v>
      </c>
      <c r="AB73" s="28">
        <v>480000</v>
      </c>
      <c r="AC73" s="28"/>
      <c r="AD73" s="28">
        <v>1920000</v>
      </c>
      <c r="AE73" s="37"/>
      <c r="AF73" s="19">
        <v>2020</v>
      </c>
      <c r="AG73" s="19">
        <v>2022</v>
      </c>
    </row>
    <row r="74" spans="1:33" ht="84.9" hidden="1" customHeight="1" x14ac:dyDescent="0.45">
      <c r="A74" s="19">
        <v>58</v>
      </c>
      <c r="B74" s="19" t="s">
        <v>587</v>
      </c>
      <c r="C74" s="19" t="s">
        <v>645</v>
      </c>
      <c r="D74" s="19">
        <v>1979</v>
      </c>
      <c r="E74" s="19">
        <v>9</v>
      </c>
      <c r="F74" s="19">
        <v>2</v>
      </c>
      <c r="G74" s="23">
        <v>4745.1000000000004</v>
      </c>
      <c r="H74" s="23">
        <v>4305.97</v>
      </c>
      <c r="I74" s="19" t="s">
        <v>364</v>
      </c>
      <c r="J74" s="19" t="s">
        <v>364</v>
      </c>
      <c r="K74" s="19" t="s">
        <v>365</v>
      </c>
      <c r="L74" s="19" t="s">
        <v>366</v>
      </c>
      <c r="M74" s="37"/>
      <c r="N74" s="28"/>
      <c r="O74" s="28"/>
      <c r="P74" s="28"/>
      <c r="Q74" s="28"/>
      <c r="R74" s="28"/>
      <c r="S74" s="28"/>
      <c r="T74" s="28"/>
      <c r="U74" s="28">
        <v>4800000</v>
      </c>
      <c r="V74" s="28"/>
      <c r="W74" s="28"/>
      <c r="X74" s="28"/>
      <c r="Y74" s="28"/>
      <c r="Z74" s="28"/>
      <c r="AA74" s="28">
        <f t="shared" si="4"/>
        <v>4800000</v>
      </c>
      <c r="AB74" s="28">
        <v>960000</v>
      </c>
      <c r="AC74" s="28"/>
      <c r="AD74" s="28">
        <v>3840000</v>
      </c>
      <c r="AE74" s="37"/>
      <c r="AF74" s="19">
        <v>2020</v>
      </c>
      <c r="AG74" s="19">
        <v>2022</v>
      </c>
    </row>
    <row r="75" spans="1:33" ht="84.9" hidden="1" customHeight="1" x14ac:dyDescent="0.45">
      <c r="A75" s="19">
        <v>59</v>
      </c>
      <c r="B75" s="19" t="s">
        <v>587</v>
      </c>
      <c r="C75" s="19" t="s">
        <v>646</v>
      </c>
      <c r="D75" s="19">
        <v>1979</v>
      </c>
      <c r="E75" s="19">
        <v>9</v>
      </c>
      <c r="F75" s="19">
        <v>2</v>
      </c>
      <c r="G75" s="23">
        <v>4742.3999999999996</v>
      </c>
      <c r="H75" s="23">
        <v>4132.7</v>
      </c>
      <c r="I75" s="19" t="s">
        <v>364</v>
      </c>
      <c r="J75" s="19" t="s">
        <v>364</v>
      </c>
      <c r="K75" s="19" t="s">
        <v>365</v>
      </c>
      <c r="L75" s="19" t="s">
        <v>366</v>
      </c>
      <c r="M75" s="37"/>
      <c r="N75" s="28"/>
      <c r="O75" s="28"/>
      <c r="P75" s="28"/>
      <c r="Q75" s="28"/>
      <c r="R75" s="28"/>
      <c r="S75" s="28"/>
      <c r="T75" s="28"/>
      <c r="U75" s="28">
        <v>4800000</v>
      </c>
      <c r="V75" s="28"/>
      <c r="W75" s="28"/>
      <c r="X75" s="28"/>
      <c r="Y75" s="28"/>
      <c r="Z75" s="28"/>
      <c r="AA75" s="28">
        <f t="shared" si="4"/>
        <v>4800000</v>
      </c>
      <c r="AB75" s="28">
        <v>960000</v>
      </c>
      <c r="AC75" s="28"/>
      <c r="AD75" s="28">
        <v>3840000</v>
      </c>
      <c r="AE75" s="37"/>
      <c r="AF75" s="19">
        <v>2020</v>
      </c>
      <c r="AG75" s="19">
        <v>2022</v>
      </c>
    </row>
    <row r="76" spans="1:33" ht="84.9" hidden="1" customHeight="1" x14ac:dyDescent="0.45">
      <c r="A76" s="19">
        <v>60</v>
      </c>
      <c r="B76" s="19" t="s">
        <v>587</v>
      </c>
      <c r="C76" s="19" t="s">
        <v>647</v>
      </c>
      <c r="D76" s="19">
        <v>1980</v>
      </c>
      <c r="E76" s="19">
        <v>9</v>
      </c>
      <c r="F76" s="19">
        <v>2</v>
      </c>
      <c r="G76" s="23">
        <v>4017.6</v>
      </c>
      <c r="H76" s="23">
        <v>3328.3</v>
      </c>
      <c r="I76" s="19" t="s">
        <v>364</v>
      </c>
      <c r="J76" s="19" t="s">
        <v>364</v>
      </c>
      <c r="K76" s="19" t="s">
        <v>365</v>
      </c>
      <c r="L76" s="19" t="s">
        <v>366</v>
      </c>
      <c r="M76" s="37"/>
      <c r="N76" s="28"/>
      <c r="O76" s="28"/>
      <c r="P76" s="28"/>
      <c r="Q76" s="28"/>
      <c r="R76" s="28"/>
      <c r="S76" s="28"/>
      <c r="T76" s="28"/>
      <c r="U76" s="28">
        <v>4800000</v>
      </c>
      <c r="V76" s="28"/>
      <c r="W76" s="28"/>
      <c r="X76" s="28"/>
      <c r="Y76" s="28"/>
      <c r="Z76" s="28"/>
      <c r="AA76" s="28">
        <f t="shared" si="4"/>
        <v>4800000</v>
      </c>
      <c r="AB76" s="28">
        <v>960000</v>
      </c>
      <c r="AC76" s="28"/>
      <c r="AD76" s="28">
        <v>3840000</v>
      </c>
      <c r="AE76" s="37"/>
      <c r="AF76" s="19">
        <v>2020</v>
      </c>
      <c r="AG76" s="19">
        <v>2022</v>
      </c>
    </row>
    <row r="77" spans="1:33" ht="84.9" hidden="1" customHeight="1" x14ac:dyDescent="0.45">
      <c r="A77" s="19">
        <v>61</v>
      </c>
      <c r="B77" s="19" t="s">
        <v>587</v>
      </c>
      <c r="C77" s="19" t="s">
        <v>648</v>
      </c>
      <c r="D77" s="19">
        <v>1980</v>
      </c>
      <c r="E77" s="19">
        <v>9</v>
      </c>
      <c r="F77" s="19">
        <v>2</v>
      </c>
      <c r="G77" s="23">
        <v>6401</v>
      </c>
      <c r="H77" s="23">
        <v>5641.4</v>
      </c>
      <c r="I77" s="19" t="s">
        <v>364</v>
      </c>
      <c r="J77" s="19" t="s">
        <v>364</v>
      </c>
      <c r="K77" s="19" t="s">
        <v>365</v>
      </c>
      <c r="L77" s="19" t="s">
        <v>366</v>
      </c>
      <c r="M77" s="37"/>
      <c r="N77" s="28"/>
      <c r="O77" s="28"/>
      <c r="P77" s="28"/>
      <c r="Q77" s="28"/>
      <c r="R77" s="28"/>
      <c r="S77" s="28"/>
      <c r="T77" s="28"/>
      <c r="U77" s="28">
        <v>4800000</v>
      </c>
      <c r="V77" s="28"/>
      <c r="W77" s="28"/>
      <c r="X77" s="28"/>
      <c r="Y77" s="28"/>
      <c r="Z77" s="28"/>
      <c r="AA77" s="28">
        <f t="shared" si="4"/>
        <v>4800000</v>
      </c>
      <c r="AB77" s="28">
        <v>960000</v>
      </c>
      <c r="AC77" s="28"/>
      <c r="AD77" s="28">
        <v>3840000</v>
      </c>
      <c r="AE77" s="37"/>
      <c r="AF77" s="19">
        <v>2020</v>
      </c>
      <c r="AG77" s="19">
        <v>2022</v>
      </c>
    </row>
    <row r="78" spans="1:33" ht="84.9" hidden="1" customHeight="1" x14ac:dyDescent="0.45">
      <c r="A78" s="19">
        <v>62</v>
      </c>
      <c r="B78" s="19" t="s">
        <v>587</v>
      </c>
      <c r="C78" s="19" t="s">
        <v>649</v>
      </c>
      <c r="D78" s="19">
        <v>1980</v>
      </c>
      <c r="E78" s="19">
        <v>9</v>
      </c>
      <c r="F78" s="19">
        <v>2</v>
      </c>
      <c r="G78" s="23">
        <v>6401.9</v>
      </c>
      <c r="H78" s="23">
        <v>5665.1</v>
      </c>
      <c r="I78" s="19" t="s">
        <v>364</v>
      </c>
      <c r="J78" s="19" t="s">
        <v>364</v>
      </c>
      <c r="K78" s="19" t="s">
        <v>365</v>
      </c>
      <c r="L78" s="19" t="s">
        <v>366</v>
      </c>
      <c r="M78" s="37"/>
      <c r="N78" s="28"/>
      <c r="O78" s="28"/>
      <c r="P78" s="28"/>
      <c r="Q78" s="28"/>
      <c r="R78" s="28"/>
      <c r="S78" s="28"/>
      <c r="T78" s="28"/>
      <c r="U78" s="28">
        <v>4800000</v>
      </c>
      <c r="V78" s="28"/>
      <c r="W78" s="28"/>
      <c r="X78" s="28"/>
      <c r="Y78" s="28"/>
      <c r="Z78" s="28"/>
      <c r="AA78" s="28">
        <f t="shared" si="4"/>
        <v>4800000</v>
      </c>
      <c r="AB78" s="28">
        <v>960000</v>
      </c>
      <c r="AC78" s="28"/>
      <c r="AD78" s="28">
        <v>3840000</v>
      </c>
      <c r="AE78" s="37"/>
      <c r="AF78" s="19">
        <v>2020</v>
      </c>
      <c r="AG78" s="19">
        <v>2022</v>
      </c>
    </row>
    <row r="79" spans="1:33" ht="84.9" hidden="1" customHeight="1" x14ac:dyDescent="0.45">
      <c r="A79" s="19">
        <v>63</v>
      </c>
      <c r="B79" s="19" t="s">
        <v>587</v>
      </c>
      <c r="C79" s="19" t="s">
        <v>650</v>
      </c>
      <c r="D79" s="19">
        <v>1981</v>
      </c>
      <c r="E79" s="19">
        <v>9</v>
      </c>
      <c r="F79" s="19">
        <v>1</v>
      </c>
      <c r="G79" s="23">
        <v>2891.9</v>
      </c>
      <c r="H79" s="23">
        <v>2398.6999999999998</v>
      </c>
      <c r="I79" s="19" t="s">
        <v>364</v>
      </c>
      <c r="J79" s="19" t="s">
        <v>364</v>
      </c>
      <c r="K79" s="19" t="s">
        <v>365</v>
      </c>
      <c r="L79" s="19" t="s">
        <v>366</v>
      </c>
      <c r="M79" s="37"/>
      <c r="N79" s="28"/>
      <c r="O79" s="28"/>
      <c r="P79" s="28"/>
      <c r="Q79" s="28"/>
      <c r="R79" s="28"/>
      <c r="S79" s="28"/>
      <c r="T79" s="28"/>
      <c r="U79" s="28">
        <v>2400000</v>
      </c>
      <c r="V79" s="28"/>
      <c r="W79" s="28"/>
      <c r="X79" s="28"/>
      <c r="Y79" s="28"/>
      <c r="Z79" s="28"/>
      <c r="AA79" s="28">
        <f t="shared" si="4"/>
        <v>2400000</v>
      </c>
      <c r="AB79" s="28">
        <v>480000</v>
      </c>
      <c r="AC79" s="28"/>
      <c r="AD79" s="28">
        <v>1920000</v>
      </c>
      <c r="AE79" s="37"/>
      <c r="AF79" s="19">
        <v>2020</v>
      </c>
      <c r="AG79" s="19">
        <v>2022</v>
      </c>
    </row>
    <row r="80" spans="1:33" ht="81" hidden="1" customHeight="1" x14ac:dyDescent="0.45">
      <c r="A80" s="19">
        <v>64</v>
      </c>
      <c r="B80" s="19" t="s">
        <v>587</v>
      </c>
      <c r="C80" s="19" t="s">
        <v>651</v>
      </c>
      <c r="D80" s="19">
        <v>1959</v>
      </c>
      <c r="E80" s="19">
        <v>5</v>
      </c>
      <c r="F80" s="19">
        <v>2</v>
      </c>
      <c r="G80" s="23">
        <v>1776.6</v>
      </c>
      <c r="H80" s="23">
        <v>1432.5</v>
      </c>
      <c r="I80" s="23">
        <v>1431.3</v>
      </c>
      <c r="J80" s="19" t="s">
        <v>364</v>
      </c>
      <c r="K80" s="19" t="s">
        <v>365</v>
      </c>
      <c r="L80" s="19" t="s">
        <v>366</v>
      </c>
      <c r="M80" s="37"/>
      <c r="N80" s="28"/>
      <c r="O80" s="28"/>
      <c r="P80" s="28"/>
      <c r="Q80" s="28"/>
      <c r="R80" s="28"/>
      <c r="S80" s="28"/>
      <c r="T80" s="28"/>
      <c r="U80" s="28"/>
      <c r="V80" s="28"/>
      <c r="W80" s="28">
        <v>431325.39</v>
      </c>
      <c r="X80" s="28">
        <v>3924006.9301999998</v>
      </c>
      <c r="Y80" s="28">
        <v>1181393.9235</v>
      </c>
      <c r="Z80" s="28">
        <v>166101.79</v>
      </c>
      <c r="AA80" s="28">
        <f t="shared" si="4"/>
        <v>5702828.0336999996</v>
      </c>
      <c r="AB80" s="28"/>
      <c r="AC80" s="28"/>
      <c r="AD80" s="28">
        <f>AA80</f>
        <v>5702828.0336999996</v>
      </c>
      <c r="AE80" s="37"/>
      <c r="AF80" s="19">
        <v>2020</v>
      </c>
      <c r="AG80" s="19">
        <v>2022</v>
      </c>
    </row>
    <row r="81" spans="1:33" ht="81" hidden="1" customHeight="1" x14ac:dyDescent="0.45">
      <c r="A81" s="19">
        <v>65</v>
      </c>
      <c r="B81" s="19" t="s">
        <v>587</v>
      </c>
      <c r="C81" s="19" t="s">
        <v>652</v>
      </c>
      <c r="D81" s="19">
        <v>1966</v>
      </c>
      <c r="E81" s="19">
        <v>9</v>
      </c>
      <c r="F81" s="19">
        <v>1</v>
      </c>
      <c r="G81" s="23">
        <v>2628.7</v>
      </c>
      <c r="H81" s="23">
        <v>2239.8000000000002</v>
      </c>
      <c r="I81" s="23">
        <v>1323.2</v>
      </c>
      <c r="J81" s="19" t="s">
        <v>364</v>
      </c>
      <c r="K81" s="19" t="s">
        <v>365</v>
      </c>
      <c r="L81" s="19" t="s">
        <v>366</v>
      </c>
      <c r="M81" s="37"/>
      <c r="N81" s="28"/>
      <c r="O81" s="28"/>
      <c r="P81" s="28"/>
      <c r="Q81" s="28"/>
      <c r="R81" s="28"/>
      <c r="S81" s="28"/>
      <c r="T81" s="28"/>
      <c r="U81" s="28">
        <v>2961856.62</v>
      </c>
      <c r="V81" s="28"/>
      <c r="W81" s="28"/>
      <c r="X81" s="30"/>
      <c r="Y81" s="30"/>
      <c r="Z81" s="28">
        <v>75945.039999999994</v>
      </c>
      <c r="AA81" s="28">
        <f t="shared" si="4"/>
        <v>3037801.66</v>
      </c>
      <c r="AB81" s="28"/>
      <c r="AC81" s="28"/>
      <c r="AD81" s="28">
        <f>AA81</f>
        <v>3037801.66</v>
      </c>
      <c r="AE81" s="37"/>
      <c r="AF81" s="19">
        <v>2020</v>
      </c>
      <c r="AG81" s="19">
        <v>2022</v>
      </c>
    </row>
    <row r="82" spans="1:33" ht="77.25" hidden="1" customHeight="1" x14ac:dyDescent="0.45">
      <c r="A82" s="19">
        <v>66</v>
      </c>
      <c r="B82" s="19" t="s">
        <v>587</v>
      </c>
      <c r="C82" s="19" t="s">
        <v>653</v>
      </c>
      <c r="D82" s="19">
        <v>1965</v>
      </c>
      <c r="E82" s="19">
        <v>5</v>
      </c>
      <c r="F82" s="19">
        <v>4</v>
      </c>
      <c r="G82" s="23">
        <v>3825.8</v>
      </c>
      <c r="H82" s="23">
        <v>2645.8</v>
      </c>
      <c r="I82" s="23">
        <v>2558.6</v>
      </c>
      <c r="J82" s="19">
        <v>147</v>
      </c>
      <c r="K82" s="19" t="s">
        <v>365</v>
      </c>
      <c r="L82" s="19" t="s">
        <v>366</v>
      </c>
      <c r="M82" s="37"/>
      <c r="N82" s="28"/>
      <c r="O82" s="28"/>
      <c r="P82" s="28"/>
      <c r="Q82" s="28"/>
      <c r="R82" s="28">
        <v>961324.71</v>
      </c>
      <c r="S82" s="28"/>
      <c r="T82" s="28"/>
      <c r="U82" s="28"/>
      <c r="V82" s="28"/>
      <c r="W82" s="28"/>
      <c r="X82" s="30"/>
      <c r="Y82" s="30"/>
      <c r="Z82" s="28">
        <v>55000</v>
      </c>
      <c r="AA82" s="28">
        <f t="shared" ref="AA82:AA85" si="5">R82+Z82</f>
        <v>1016324.71</v>
      </c>
      <c r="AB82" s="28">
        <f t="shared" ref="AB82:AB85" si="6">AA82</f>
        <v>1016324.71</v>
      </c>
      <c r="AC82" s="28"/>
      <c r="AD82" s="28"/>
      <c r="AE82" s="37"/>
      <c r="AF82" s="19">
        <v>2020</v>
      </c>
      <c r="AG82" s="19">
        <v>2021</v>
      </c>
    </row>
    <row r="83" spans="1:33" ht="78.75" hidden="1" customHeight="1" x14ac:dyDescent="0.45">
      <c r="A83" s="19">
        <v>67</v>
      </c>
      <c r="B83" s="19" t="s">
        <v>587</v>
      </c>
      <c r="C83" s="19" t="s">
        <v>654</v>
      </c>
      <c r="D83" s="19">
        <v>1964</v>
      </c>
      <c r="E83" s="19">
        <v>5</v>
      </c>
      <c r="F83" s="19">
        <v>4</v>
      </c>
      <c r="G83" s="23">
        <v>3150.2</v>
      </c>
      <c r="H83" s="23">
        <v>2390.1999999999998</v>
      </c>
      <c r="I83" s="23">
        <v>2042.3</v>
      </c>
      <c r="J83" s="19">
        <v>115</v>
      </c>
      <c r="K83" s="19" t="s">
        <v>365</v>
      </c>
      <c r="L83" s="19" t="s">
        <v>366</v>
      </c>
      <c r="M83" s="37"/>
      <c r="N83" s="28"/>
      <c r="O83" s="28"/>
      <c r="P83" s="28"/>
      <c r="Q83" s="28"/>
      <c r="R83" s="28">
        <v>961324.71</v>
      </c>
      <c r="S83" s="28"/>
      <c r="T83" s="28"/>
      <c r="U83" s="28"/>
      <c r="V83" s="28"/>
      <c r="W83" s="28"/>
      <c r="X83" s="30"/>
      <c r="Y83" s="30"/>
      <c r="Z83" s="28">
        <v>55000</v>
      </c>
      <c r="AA83" s="28">
        <f t="shared" si="5"/>
        <v>1016324.71</v>
      </c>
      <c r="AB83" s="28">
        <f t="shared" si="6"/>
        <v>1016324.71</v>
      </c>
      <c r="AC83" s="28"/>
      <c r="AD83" s="28"/>
      <c r="AE83" s="37"/>
      <c r="AF83" s="19">
        <v>2020</v>
      </c>
      <c r="AG83" s="19">
        <v>2021</v>
      </c>
    </row>
    <row r="84" spans="1:33" ht="77.25" hidden="1" customHeight="1" x14ac:dyDescent="0.45">
      <c r="A84" s="19">
        <v>68</v>
      </c>
      <c r="B84" s="19" t="s">
        <v>587</v>
      </c>
      <c r="C84" s="19" t="s">
        <v>655</v>
      </c>
      <c r="D84" s="19">
        <v>1964</v>
      </c>
      <c r="E84" s="19">
        <v>5</v>
      </c>
      <c r="F84" s="19">
        <v>3</v>
      </c>
      <c r="G84" s="23">
        <v>2775.7</v>
      </c>
      <c r="H84" s="23">
        <v>1872.3</v>
      </c>
      <c r="I84" s="23">
        <v>1833.4</v>
      </c>
      <c r="J84" s="19">
        <v>118</v>
      </c>
      <c r="K84" s="19" t="s">
        <v>365</v>
      </c>
      <c r="L84" s="19" t="s">
        <v>366</v>
      </c>
      <c r="M84" s="37"/>
      <c r="N84" s="28"/>
      <c r="O84" s="28"/>
      <c r="P84" s="28"/>
      <c r="Q84" s="28"/>
      <c r="R84" s="28">
        <v>961324.71</v>
      </c>
      <c r="S84" s="28"/>
      <c r="T84" s="28"/>
      <c r="U84" s="28"/>
      <c r="V84" s="28"/>
      <c r="W84" s="28"/>
      <c r="X84" s="30"/>
      <c r="Y84" s="30"/>
      <c r="Z84" s="28">
        <v>55000</v>
      </c>
      <c r="AA84" s="28">
        <f t="shared" si="5"/>
        <v>1016324.71</v>
      </c>
      <c r="AB84" s="28">
        <f t="shared" si="6"/>
        <v>1016324.71</v>
      </c>
      <c r="AC84" s="28"/>
      <c r="AD84" s="28"/>
      <c r="AE84" s="37"/>
      <c r="AF84" s="19">
        <v>2020</v>
      </c>
      <c r="AG84" s="19">
        <v>2021</v>
      </c>
    </row>
    <row r="85" spans="1:33" ht="81" hidden="1" customHeight="1" x14ac:dyDescent="0.45">
      <c r="A85" s="19">
        <v>69</v>
      </c>
      <c r="B85" s="19" t="s">
        <v>587</v>
      </c>
      <c r="C85" s="19" t="s">
        <v>656</v>
      </c>
      <c r="D85" s="19">
        <v>1964</v>
      </c>
      <c r="E85" s="19">
        <v>5</v>
      </c>
      <c r="F85" s="19">
        <v>3</v>
      </c>
      <c r="G85" s="23">
        <v>2581.1</v>
      </c>
      <c r="H85" s="23">
        <v>1746.2</v>
      </c>
      <c r="I85" s="23">
        <v>1716.3</v>
      </c>
      <c r="J85" s="19">
        <v>87</v>
      </c>
      <c r="K85" s="19" t="s">
        <v>365</v>
      </c>
      <c r="L85" s="19" t="s">
        <v>366</v>
      </c>
      <c r="M85" s="37"/>
      <c r="N85" s="28"/>
      <c r="O85" s="28"/>
      <c r="P85" s="28"/>
      <c r="Q85" s="28"/>
      <c r="R85" s="28">
        <v>961324.71</v>
      </c>
      <c r="S85" s="28"/>
      <c r="T85" s="28"/>
      <c r="U85" s="28"/>
      <c r="V85" s="28"/>
      <c r="W85" s="28"/>
      <c r="X85" s="30"/>
      <c r="Y85" s="30"/>
      <c r="Z85" s="28">
        <v>55000</v>
      </c>
      <c r="AA85" s="28">
        <f t="shared" si="5"/>
        <v>1016324.71</v>
      </c>
      <c r="AB85" s="28">
        <f t="shared" si="6"/>
        <v>1016324.71</v>
      </c>
      <c r="AC85" s="28"/>
      <c r="AD85" s="28"/>
      <c r="AE85" s="37"/>
      <c r="AF85" s="19">
        <v>2020</v>
      </c>
      <c r="AG85" s="19">
        <v>2021</v>
      </c>
    </row>
    <row r="86" spans="1:33" ht="84.9" hidden="1" customHeight="1" x14ac:dyDescent="0.45">
      <c r="A86" s="19">
        <v>70</v>
      </c>
      <c r="B86" s="19" t="s">
        <v>587</v>
      </c>
      <c r="C86" s="19" t="s">
        <v>657</v>
      </c>
      <c r="D86" s="19">
        <v>1952</v>
      </c>
      <c r="E86" s="19">
        <v>4</v>
      </c>
      <c r="F86" s="19">
        <v>3</v>
      </c>
      <c r="G86" s="23">
        <v>3140.9</v>
      </c>
      <c r="H86" s="23">
        <v>1970</v>
      </c>
      <c r="I86" s="23">
        <v>1082.8</v>
      </c>
      <c r="J86" s="19" t="s">
        <v>364</v>
      </c>
      <c r="K86" s="19" t="s">
        <v>365</v>
      </c>
      <c r="L86" s="19" t="s">
        <v>366</v>
      </c>
      <c r="M86" s="37"/>
      <c r="N86" s="28"/>
      <c r="O86" s="28"/>
      <c r="P86" s="28"/>
      <c r="Q86" s="28"/>
      <c r="R86" s="28"/>
      <c r="S86" s="28"/>
      <c r="T86" s="28"/>
      <c r="U86" s="28"/>
      <c r="V86" s="28">
        <v>8148746.1200000001</v>
      </c>
      <c r="W86" s="28"/>
      <c r="X86" s="28">
        <v>7859582.4900000002</v>
      </c>
      <c r="Y86" s="28"/>
      <c r="Z86" s="28">
        <v>398480.12</v>
      </c>
      <c r="AA86" s="28">
        <f>SUM(N86:Z86)</f>
        <v>16406808.729999999</v>
      </c>
      <c r="AB86" s="28"/>
      <c r="AC86" s="28"/>
      <c r="AD86" s="28">
        <f>AA86</f>
        <v>16406808.729999999</v>
      </c>
      <c r="AE86" s="37"/>
      <c r="AF86" s="19">
        <v>2020</v>
      </c>
      <c r="AG86" s="19">
        <v>2022</v>
      </c>
    </row>
    <row r="87" spans="1:33" ht="84.9" hidden="1" customHeight="1" x14ac:dyDescent="0.45">
      <c r="A87" s="19">
        <v>71</v>
      </c>
      <c r="B87" s="19" t="s">
        <v>587</v>
      </c>
      <c r="C87" s="19" t="s">
        <v>658</v>
      </c>
      <c r="D87" s="19">
        <v>1954</v>
      </c>
      <c r="E87" s="19">
        <v>4</v>
      </c>
      <c r="F87" s="19">
        <v>3</v>
      </c>
      <c r="G87" s="23">
        <v>2643</v>
      </c>
      <c r="H87" s="23">
        <v>1836.3</v>
      </c>
      <c r="I87" s="23">
        <v>1058.0999999999999</v>
      </c>
      <c r="J87" s="19" t="s">
        <v>364</v>
      </c>
      <c r="K87" s="19" t="s">
        <v>365</v>
      </c>
      <c r="L87" s="19" t="s">
        <v>366</v>
      </c>
      <c r="M87" s="37"/>
      <c r="N87" s="28"/>
      <c r="O87" s="28"/>
      <c r="P87" s="28"/>
      <c r="Q87" s="28"/>
      <c r="R87" s="28"/>
      <c r="S87" s="28"/>
      <c r="T87" s="28"/>
      <c r="U87" s="28"/>
      <c r="V87" s="28">
        <v>7595706.8499999996</v>
      </c>
      <c r="W87" s="28"/>
      <c r="X87" s="28"/>
      <c r="Y87" s="28"/>
      <c r="Z87" s="28">
        <v>98744.19</v>
      </c>
      <c r="AA87" s="28">
        <f>SUM(N87:Z87)</f>
        <v>7694451.04</v>
      </c>
      <c r="AB87" s="28"/>
      <c r="AC87" s="28"/>
      <c r="AD87" s="28">
        <f>AA87</f>
        <v>7694451.04</v>
      </c>
      <c r="AE87" s="37"/>
      <c r="AF87" s="19">
        <v>2020</v>
      </c>
      <c r="AG87" s="19">
        <v>2022</v>
      </c>
    </row>
    <row r="88" spans="1:33" ht="84.9" hidden="1" customHeight="1" x14ac:dyDescent="0.45">
      <c r="A88" s="19">
        <v>72</v>
      </c>
      <c r="B88" s="19" t="s">
        <v>587</v>
      </c>
      <c r="C88" s="19" t="s">
        <v>659</v>
      </c>
      <c r="D88" s="19">
        <v>1965</v>
      </c>
      <c r="E88" s="19">
        <v>5</v>
      </c>
      <c r="F88" s="19">
        <v>3</v>
      </c>
      <c r="G88" s="23">
        <v>2584.1999999999998</v>
      </c>
      <c r="H88" s="23">
        <v>1758.5</v>
      </c>
      <c r="I88" s="23">
        <v>1714.4</v>
      </c>
      <c r="J88" s="19">
        <v>95</v>
      </c>
      <c r="K88" s="19" t="s">
        <v>365</v>
      </c>
      <c r="L88" s="19" t="s">
        <v>366</v>
      </c>
      <c r="M88" s="37"/>
      <c r="N88" s="28"/>
      <c r="O88" s="28"/>
      <c r="P88" s="28"/>
      <c r="Q88" s="28"/>
      <c r="R88" s="28">
        <v>961324.71</v>
      </c>
      <c r="S88" s="28"/>
      <c r="T88" s="28"/>
      <c r="U88" s="28"/>
      <c r="V88" s="28"/>
      <c r="W88" s="28"/>
      <c r="X88" s="28"/>
      <c r="Y88" s="28"/>
      <c r="Z88" s="28">
        <v>55000</v>
      </c>
      <c r="AA88" s="28">
        <f t="shared" ref="AA88:AA91" si="7">R88+Z88</f>
        <v>1016324.71</v>
      </c>
      <c r="AB88" s="28">
        <f t="shared" ref="AB88:AB91" si="8">AA88</f>
        <v>1016324.71</v>
      </c>
      <c r="AC88" s="28"/>
      <c r="AD88" s="28"/>
      <c r="AE88" s="37"/>
      <c r="AF88" s="19">
        <v>2020</v>
      </c>
      <c r="AG88" s="19">
        <v>2021</v>
      </c>
    </row>
    <row r="89" spans="1:33" ht="115.5" hidden="1" customHeight="1" x14ac:dyDescent="0.45">
      <c r="A89" s="19">
        <v>73</v>
      </c>
      <c r="B89" s="19" t="s">
        <v>587</v>
      </c>
      <c r="C89" s="19" t="s">
        <v>660</v>
      </c>
      <c r="D89" s="19">
        <v>1966</v>
      </c>
      <c r="E89" s="19">
        <v>5</v>
      </c>
      <c r="F89" s="19">
        <v>4</v>
      </c>
      <c r="G89" s="23">
        <v>2504.5</v>
      </c>
      <c r="H89" s="23">
        <v>2504.5</v>
      </c>
      <c r="I89" s="23">
        <v>1684.3</v>
      </c>
      <c r="J89" s="19">
        <v>94</v>
      </c>
      <c r="K89" s="19" t="s">
        <v>365</v>
      </c>
      <c r="L89" s="19" t="s">
        <v>449</v>
      </c>
      <c r="M89" s="37"/>
      <c r="N89" s="28"/>
      <c r="O89" s="28"/>
      <c r="P89" s="28"/>
      <c r="Q89" s="28"/>
      <c r="R89" s="28">
        <v>961324.71</v>
      </c>
      <c r="S89" s="28"/>
      <c r="T89" s="28"/>
      <c r="U89" s="28"/>
      <c r="V89" s="28"/>
      <c r="W89" s="28"/>
      <c r="X89" s="28"/>
      <c r="Y89" s="28"/>
      <c r="Z89" s="28">
        <v>55000</v>
      </c>
      <c r="AA89" s="28">
        <f t="shared" si="7"/>
        <v>1016324.71</v>
      </c>
      <c r="AB89" s="28">
        <f t="shared" si="8"/>
        <v>1016324.71</v>
      </c>
      <c r="AC89" s="28"/>
      <c r="AD89" s="28"/>
      <c r="AE89" s="37"/>
      <c r="AF89" s="19">
        <v>2020</v>
      </c>
      <c r="AG89" s="19">
        <v>2021</v>
      </c>
    </row>
    <row r="90" spans="1:33" ht="84.9" hidden="1" customHeight="1" x14ac:dyDescent="0.45">
      <c r="A90" s="19">
        <v>74</v>
      </c>
      <c r="B90" s="19" t="s">
        <v>587</v>
      </c>
      <c r="C90" s="19" t="s">
        <v>661</v>
      </c>
      <c r="D90" s="19">
        <v>1969</v>
      </c>
      <c r="E90" s="19">
        <v>5</v>
      </c>
      <c r="F90" s="19">
        <v>4</v>
      </c>
      <c r="G90" s="23">
        <v>2730</v>
      </c>
      <c r="H90" s="23">
        <v>2730</v>
      </c>
      <c r="I90" s="23">
        <v>1840</v>
      </c>
      <c r="J90" s="19">
        <v>83</v>
      </c>
      <c r="K90" s="19" t="s">
        <v>365</v>
      </c>
      <c r="L90" s="19" t="s">
        <v>366</v>
      </c>
      <c r="M90" s="37"/>
      <c r="N90" s="28"/>
      <c r="O90" s="28"/>
      <c r="P90" s="28"/>
      <c r="Q90" s="28"/>
      <c r="R90" s="28">
        <v>961324.71</v>
      </c>
      <c r="S90" s="28"/>
      <c r="T90" s="28"/>
      <c r="U90" s="28"/>
      <c r="V90" s="28"/>
      <c r="W90" s="28"/>
      <c r="X90" s="28"/>
      <c r="Y90" s="28"/>
      <c r="Z90" s="28">
        <v>55000</v>
      </c>
      <c r="AA90" s="28">
        <f t="shared" si="7"/>
        <v>1016324.71</v>
      </c>
      <c r="AB90" s="28">
        <f t="shared" si="8"/>
        <v>1016324.71</v>
      </c>
      <c r="AC90" s="28"/>
      <c r="AD90" s="28"/>
      <c r="AE90" s="37"/>
      <c r="AF90" s="19">
        <v>2020</v>
      </c>
      <c r="AG90" s="19">
        <v>2021</v>
      </c>
    </row>
    <row r="91" spans="1:33" ht="84.9" hidden="1" customHeight="1" x14ac:dyDescent="0.45">
      <c r="A91" s="19">
        <v>75</v>
      </c>
      <c r="B91" s="19" t="s">
        <v>587</v>
      </c>
      <c r="C91" s="19" t="s">
        <v>662</v>
      </c>
      <c r="D91" s="19">
        <v>1963</v>
      </c>
      <c r="E91" s="19">
        <v>5</v>
      </c>
      <c r="F91" s="19">
        <v>3</v>
      </c>
      <c r="G91" s="23">
        <v>2608.9</v>
      </c>
      <c r="H91" s="23">
        <v>2608.9</v>
      </c>
      <c r="I91" s="23">
        <v>1715.7</v>
      </c>
      <c r="J91" s="19">
        <v>74</v>
      </c>
      <c r="K91" s="19" t="s">
        <v>365</v>
      </c>
      <c r="L91" s="19" t="s">
        <v>366</v>
      </c>
      <c r="M91" s="37"/>
      <c r="N91" s="28"/>
      <c r="O91" s="28"/>
      <c r="P91" s="28"/>
      <c r="Q91" s="28"/>
      <c r="R91" s="28">
        <v>961324.71</v>
      </c>
      <c r="S91" s="28"/>
      <c r="T91" s="28"/>
      <c r="U91" s="28"/>
      <c r="V91" s="28"/>
      <c r="W91" s="28"/>
      <c r="X91" s="28"/>
      <c r="Y91" s="28"/>
      <c r="Z91" s="28">
        <v>55000</v>
      </c>
      <c r="AA91" s="28">
        <f t="shared" si="7"/>
        <v>1016324.71</v>
      </c>
      <c r="AB91" s="28">
        <f t="shared" si="8"/>
        <v>1016324.71</v>
      </c>
      <c r="AC91" s="28"/>
      <c r="AD91" s="28"/>
      <c r="AE91" s="37"/>
      <c r="AF91" s="19">
        <v>2020</v>
      </c>
      <c r="AG91" s="19">
        <v>2021</v>
      </c>
    </row>
    <row r="92" spans="1:33" ht="84.9" hidden="1" customHeight="1" x14ac:dyDescent="0.45">
      <c r="A92" s="19">
        <v>76</v>
      </c>
      <c r="B92" s="19" t="s">
        <v>587</v>
      </c>
      <c r="C92" s="19" t="s">
        <v>663</v>
      </c>
      <c r="D92" s="19">
        <v>1964</v>
      </c>
      <c r="E92" s="19">
        <v>5</v>
      </c>
      <c r="F92" s="19">
        <v>3</v>
      </c>
      <c r="G92" s="39" t="s">
        <v>664</v>
      </c>
      <c r="H92" s="23">
        <v>2297.6</v>
      </c>
      <c r="I92" s="23" t="s">
        <v>364</v>
      </c>
      <c r="J92" s="19" t="s">
        <v>364</v>
      </c>
      <c r="K92" s="19" t="s">
        <v>365</v>
      </c>
      <c r="L92" s="19" t="s">
        <v>366</v>
      </c>
      <c r="M92" s="19"/>
      <c r="N92" s="28"/>
      <c r="O92" s="28"/>
      <c r="P92" s="28"/>
      <c r="Q92" s="28"/>
      <c r="R92" s="28">
        <v>961324.71</v>
      </c>
      <c r="S92" s="28"/>
      <c r="T92" s="28"/>
      <c r="U92" s="28"/>
      <c r="V92" s="28"/>
      <c r="W92" s="28"/>
      <c r="X92" s="28"/>
      <c r="Y92" s="28"/>
      <c r="Z92" s="28">
        <v>55000</v>
      </c>
      <c r="AA92" s="28">
        <f t="shared" ref="AA92:AA119" si="9">SUM(N92:Z92)</f>
        <v>1016324.71</v>
      </c>
      <c r="AB92" s="28"/>
      <c r="AC92" s="28"/>
      <c r="AD92" s="28">
        <f>AA92</f>
        <v>1016324.71</v>
      </c>
      <c r="AE92" s="37"/>
      <c r="AF92" s="19">
        <v>2020</v>
      </c>
      <c r="AG92" s="19">
        <v>2022</v>
      </c>
    </row>
    <row r="93" spans="1:33" ht="84.9" hidden="1" customHeight="1" x14ac:dyDescent="0.45">
      <c r="A93" s="19">
        <v>77</v>
      </c>
      <c r="B93" s="19" t="s">
        <v>587</v>
      </c>
      <c r="C93" s="19" t="s">
        <v>665</v>
      </c>
      <c r="D93" s="19">
        <v>1964</v>
      </c>
      <c r="E93" s="19">
        <v>5</v>
      </c>
      <c r="F93" s="19">
        <v>2</v>
      </c>
      <c r="G93" s="39" t="s">
        <v>666</v>
      </c>
      <c r="H93" s="23">
        <v>1571.8</v>
      </c>
      <c r="I93" s="23" t="s">
        <v>364</v>
      </c>
      <c r="J93" s="19" t="s">
        <v>364</v>
      </c>
      <c r="K93" s="19" t="s">
        <v>365</v>
      </c>
      <c r="L93" s="19" t="s">
        <v>366</v>
      </c>
      <c r="M93" s="19"/>
      <c r="N93" s="28"/>
      <c r="O93" s="28"/>
      <c r="P93" s="28"/>
      <c r="Q93" s="28"/>
      <c r="R93" s="28">
        <v>961324.71</v>
      </c>
      <c r="S93" s="28"/>
      <c r="T93" s="28"/>
      <c r="U93" s="28"/>
      <c r="V93" s="28"/>
      <c r="W93" s="28"/>
      <c r="X93" s="28"/>
      <c r="Y93" s="28"/>
      <c r="Z93" s="28">
        <v>55000</v>
      </c>
      <c r="AA93" s="28">
        <f t="shared" si="9"/>
        <v>1016324.71</v>
      </c>
      <c r="AB93" s="28"/>
      <c r="AC93" s="28"/>
      <c r="AD93" s="28">
        <f>AA93</f>
        <v>1016324.71</v>
      </c>
      <c r="AE93" s="37"/>
      <c r="AF93" s="19">
        <v>2020</v>
      </c>
      <c r="AG93" s="19">
        <v>2022</v>
      </c>
    </row>
    <row r="94" spans="1:33" ht="84.9" hidden="1" customHeight="1" x14ac:dyDescent="0.45">
      <c r="A94" s="19">
        <v>78</v>
      </c>
      <c r="B94" s="19" t="s">
        <v>587</v>
      </c>
      <c r="C94" s="19" t="s">
        <v>667</v>
      </c>
      <c r="D94" s="19">
        <v>1977</v>
      </c>
      <c r="E94" s="19">
        <v>9</v>
      </c>
      <c r="F94" s="19">
        <v>1</v>
      </c>
      <c r="G94" s="39">
        <v>3687.7</v>
      </c>
      <c r="H94" s="23">
        <v>2983.83</v>
      </c>
      <c r="I94" s="19" t="s">
        <v>364</v>
      </c>
      <c r="J94" s="19" t="s">
        <v>364</v>
      </c>
      <c r="K94" s="19" t="s">
        <v>365</v>
      </c>
      <c r="L94" s="19" t="s">
        <v>366</v>
      </c>
      <c r="M94" s="19"/>
      <c r="N94" s="28"/>
      <c r="O94" s="28"/>
      <c r="P94" s="28"/>
      <c r="Q94" s="28"/>
      <c r="R94" s="28"/>
      <c r="S94" s="28"/>
      <c r="T94" s="28"/>
      <c r="U94" s="28">
        <v>2400000</v>
      </c>
      <c r="V94" s="28"/>
      <c r="W94" s="28"/>
      <c r="X94" s="28"/>
      <c r="Y94" s="28"/>
      <c r="Z94" s="28"/>
      <c r="AA94" s="28">
        <f t="shared" si="9"/>
        <v>2400000</v>
      </c>
      <c r="AB94" s="28">
        <v>480000</v>
      </c>
      <c r="AC94" s="28"/>
      <c r="AD94" s="28">
        <v>1920000</v>
      </c>
      <c r="AE94" s="37"/>
      <c r="AF94" s="19">
        <v>2020</v>
      </c>
      <c r="AG94" s="19">
        <v>2022</v>
      </c>
    </row>
    <row r="95" spans="1:33" ht="84.9" hidden="1" customHeight="1" x14ac:dyDescent="0.45">
      <c r="A95" s="19">
        <v>79</v>
      </c>
      <c r="B95" s="19" t="s">
        <v>587</v>
      </c>
      <c r="C95" s="19" t="s">
        <v>668</v>
      </c>
      <c r="D95" s="19">
        <v>1976</v>
      </c>
      <c r="E95" s="19">
        <v>9</v>
      </c>
      <c r="F95" s="19">
        <v>2</v>
      </c>
      <c r="G95" s="39">
        <v>4481.2</v>
      </c>
      <c r="H95" s="23">
        <v>3955.83</v>
      </c>
      <c r="I95" s="19" t="s">
        <v>364</v>
      </c>
      <c r="J95" s="19" t="s">
        <v>364</v>
      </c>
      <c r="K95" s="19" t="s">
        <v>365</v>
      </c>
      <c r="L95" s="19" t="s">
        <v>366</v>
      </c>
      <c r="M95" s="19"/>
      <c r="N95" s="28"/>
      <c r="O95" s="28"/>
      <c r="P95" s="28"/>
      <c r="Q95" s="28"/>
      <c r="R95" s="28"/>
      <c r="S95" s="28"/>
      <c r="T95" s="28"/>
      <c r="U95" s="28">
        <v>4800000</v>
      </c>
      <c r="V95" s="28"/>
      <c r="W95" s="28"/>
      <c r="X95" s="28"/>
      <c r="Y95" s="28"/>
      <c r="Z95" s="28"/>
      <c r="AA95" s="28">
        <f t="shared" si="9"/>
        <v>4800000</v>
      </c>
      <c r="AB95" s="28">
        <v>960000</v>
      </c>
      <c r="AC95" s="28"/>
      <c r="AD95" s="28">
        <v>3840000</v>
      </c>
      <c r="AE95" s="37"/>
      <c r="AF95" s="19">
        <v>2020</v>
      </c>
      <c r="AG95" s="19">
        <v>2022</v>
      </c>
    </row>
    <row r="96" spans="1:33" ht="84.9" hidden="1" customHeight="1" x14ac:dyDescent="0.45">
      <c r="A96" s="19">
        <v>80</v>
      </c>
      <c r="B96" s="19" t="s">
        <v>587</v>
      </c>
      <c r="C96" s="19" t="s">
        <v>669</v>
      </c>
      <c r="D96" s="19">
        <v>1977</v>
      </c>
      <c r="E96" s="19">
        <v>9</v>
      </c>
      <c r="F96" s="19">
        <v>1</v>
      </c>
      <c r="G96" s="39">
        <v>3739.7</v>
      </c>
      <c r="H96" s="23">
        <v>3069.27</v>
      </c>
      <c r="I96" s="19" t="s">
        <v>364</v>
      </c>
      <c r="J96" s="19" t="s">
        <v>364</v>
      </c>
      <c r="K96" s="19" t="s">
        <v>365</v>
      </c>
      <c r="L96" s="19" t="s">
        <v>366</v>
      </c>
      <c r="M96" s="19"/>
      <c r="N96" s="28"/>
      <c r="O96" s="28"/>
      <c r="P96" s="28"/>
      <c r="Q96" s="28"/>
      <c r="R96" s="28"/>
      <c r="S96" s="28"/>
      <c r="T96" s="28"/>
      <c r="U96" s="28">
        <v>2400000</v>
      </c>
      <c r="V96" s="28"/>
      <c r="W96" s="28"/>
      <c r="X96" s="28"/>
      <c r="Y96" s="28"/>
      <c r="Z96" s="28"/>
      <c r="AA96" s="28">
        <f t="shared" si="9"/>
        <v>2400000</v>
      </c>
      <c r="AB96" s="28">
        <v>480000</v>
      </c>
      <c r="AC96" s="28"/>
      <c r="AD96" s="28">
        <v>1920000</v>
      </c>
      <c r="AE96" s="37"/>
      <c r="AF96" s="19">
        <v>2020</v>
      </c>
      <c r="AG96" s="19">
        <v>2022</v>
      </c>
    </row>
    <row r="97" spans="1:33" ht="84.9" hidden="1" customHeight="1" x14ac:dyDescent="0.45">
      <c r="A97" s="19">
        <v>81</v>
      </c>
      <c r="B97" s="19" t="s">
        <v>587</v>
      </c>
      <c r="C97" s="19" t="s">
        <v>670</v>
      </c>
      <c r="D97" s="19">
        <v>1976</v>
      </c>
      <c r="E97" s="19">
        <v>9</v>
      </c>
      <c r="F97" s="19">
        <v>2</v>
      </c>
      <c r="G97" s="39">
        <v>4488.3999999999996</v>
      </c>
      <c r="H97" s="23">
        <v>3848.5</v>
      </c>
      <c r="I97" s="19" t="s">
        <v>364</v>
      </c>
      <c r="J97" s="19" t="s">
        <v>364</v>
      </c>
      <c r="K97" s="19" t="s">
        <v>365</v>
      </c>
      <c r="L97" s="19" t="s">
        <v>366</v>
      </c>
      <c r="M97" s="19"/>
      <c r="N97" s="28"/>
      <c r="O97" s="28"/>
      <c r="P97" s="28"/>
      <c r="Q97" s="28"/>
      <c r="R97" s="28"/>
      <c r="S97" s="28"/>
      <c r="T97" s="28"/>
      <c r="U97" s="28">
        <v>4800000</v>
      </c>
      <c r="V97" s="28"/>
      <c r="W97" s="28"/>
      <c r="X97" s="28"/>
      <c r="Y97" s="28"/>
      <c r="Z97" s="28"/>
      <c r="AA97" s="28">
        <f t="shared" si="9"/>
        <v>4800000</v>
      </c>
      <c r="AB97" s="28">
        <v>960000</v>
      </c>
      <c r="AC97" s="28"/>
      <c r="AD97" s="28">
        <v>3840000</v>
      </c>
      <c r="AE97" s="37"/>
      <c r="AF97" s="19">
        <v>2020</v>
      </c>
      <c r="AG97" s="19">
        <v>2022</v>
      </c>
    </row>
    <row r="98" spans="1:33" ht="84.9" hidden="1" customHeight="1" x14ac:dyDescent="0.45">
      <c r="A98" s="19">
        <v>82</v>
      </c>
      <c r="B98" s="19" t="s">
        <v>587</v>
      </c>
      <c r="C98" s="19" t="s">
        <v>671</v>
      </c>
      <c r="D98" s="19">
        <v>1975</v>
      </c>
      <c r="E98" s="19">
        <v>9</v>
      </c>
      <c r="F98" s="19">
        <v>2</v>
      </c>
      <c r="G98" s="39">
        <v>4510</v>
      </c>
      <c r="H98" s="23">
        <v>3882.5</v>
      </c>
      <c r="I98" s="19" t="s">
        <v>364</v>
      </c>
      <c r="J98" s="19" t="s">
        <v>364</v>
      </c>
      <c r="K98" s="19" t="s">
        <v>365</v>
      </c>
      <c r="L98" s="19" t="s">
        <v>366</v>
      </c>
      <c r="M98" s="19"/>
      <c r="N98" s="28"/>
      <c r="O98" s="28"/>
      <c r="P98" s="28"/>
      <c r="Q98" s="28"/>
      <c r="R98" s="28"/>
      <c r="S98" s="28"/>
      <c r="T98" s="28"/>
      <c r="U98" s="28">
        <v>4800000</v>
      </c>
      <c r="V98" s="28"/>
      <c r="W98" s="28"/>
      <c r="X98" s="28"/>
      <c r="Y98" s="28"/>
      <c r="Z98" s="28"/>
      <c r="AA98" s="28">
        <f t="shared" si="9"/>
        <v>4800000</v>
      </c>
      <c r="AB98" s="28">
        <v>960000</v>
      </c>
      <c r="AC98" s="28"/>
      <c r="AD98" s="28">
        <v>3840000</v>
      </c>
      <c r="AE98" s="37"/>
      <c r="AF98" s="19">
        <v>2020</v>
      </c>
      <c r="AG98" s="19">
        <v>2022</v>
      </c>
    </row>
    <row r="99" spans="1:33" ht="84.9" hidden="1" customHeight="1" x14ac:dyDescent="0.45">
      <c r="A99" s="19">
        <v>83</v>
      </c>
      <c r="B99" s="19" t="s">
        <v>587</v>
      </c>
      <c r="C99" s="19" t="s">
        <v>672</v>
      </c>
      <c r="D99" s="19">
        <v>1975</v>
      </c>
      <c r="E99" s="19">
        <v>9</v>
      </c>
      <c r="F99" s="19">
        <v>3</v>
      </c>
      <c r="G99" s="39">
        <v>9143.7000000000007</v>
      </c>
      <c r="H99" s="23">
        <v>8198.7999999999993</v>
      </c>
      <c r="I99" s="19" t="s">
        <v>364</v>
      </c>
      <c r="J99" s="19" t="s">
        <v>364</v>
      </c>
      <c r="K99" s="19" t="s">
        <v>365</v>
      </c>
      <c r="L99" s="19" t="s">
        <v>366</v>
      </c>
      <c r="M99" s="19"/>
      <c r="N99" s="28"/>
      <c r="O99" s="28"/>
      <c r="P99" s="28"/>
      <c r="Q99" s="28"/>
      <c r="R99" s="28"/>
      <c r="S99" s="28"/>
      <c r="T99" s="28"/>
      <c r="U99" s="28">
        <v>7200000</v>
      </c>
      <c r="V99" s="28"/>
      <c r="W99" s="28"/>
      <c r="X99" s="28"/>
      <c r="Y99" s="28"/>
      <c r="Z99" s="28"/>
      <c r="AA99" s="28">
        <f t="shared" si="9"/>
        <v>7200000</v>
      </c>
      <c r="AB99" s="28">
        <v>1440000</v>
      </c>
      <c r="AC99" s="28"/>
      <c r="AD99" s="28">
        <v>5760000</v>
      </c>
      <c r="AE99" s="37"/>
      <c r="AF99" s="19">
        <v>2020</v>
      </c>
      <c r="AG99" s="19">
        <v>2022</v>
      </c>
    </row>
    <row r="100" spans="1:33" ht="84.9" hidden="1" customHeight="1" x14ac:dyDescent="0.45">
      <c r="A100" s="19">
        <v>84</v>
      </c>
      <c r="B100" s="19" t="s">
        <v>587</v>
      </c>
      <c r="C100" s="19" t="s">
        <v>673</v>
      </c>
      <c r="D100" s="19">
        <v>1979</v>
      </c>
      <c r="E100" s="19">
        <v>9</v>
      </c>
      <c r="F100" s="19">
        <v>1</v>
      </c>
      <c r="G100" s="39">
        <v>2584</v>
      </c>
      <c r="H100" s="23">
        <v>2041.3</v>
      </c>
      <c r="I100" s="19" t="s">
        <v>364</v>
      </c>
      <c r="J100" s="19" t="s">
        <v>364</v>
      </c>
      <c r="K100" s="19" t="s">
        <v>365</v>
      </c>
      <c r="L100" s="19" t="s">
        <v>366</v>
      </c>
      <c r="M100" s="19"/>
      <c r="N100" s="28"/>
      <c r="O100" s="28"/>
      <c r="P100" s="28"/>
      <c r="Q100" s="28"/>
      <c r="R100" s="28"/>
      <c r="S100" s="28"/>
      <c r="T100" s="28"/>
      <c r="U100" s="28">
        <v>2400000</v>
      </c>
      <c r="V100" s="28"/>
      <c r="W100" s="28"/>
      <c r="X100" s="28"/>
      <c r="Y100" s="28"/>
      <c r="Z100" s="28"/>
      <c r="AA100" s="28">
        <f t="shared" si="9"/>
        <v>2400000</v>
      </c>
      <c r="AB100" s="28">
        <v>480000</v>
      </c>
      <c r="AC100" s="28"/>
      <c r="AD100" s="28">
        <v>1920000</v>
      </c>
      <c r="AE100" s="37"/>
      <c r="AF100" s="19">
        <v>2020</v>
      </c>
      <c r="AG100" s="19">
        <v>2022</v>
      </c>
    </row>
    <row r="101" spans="1:33" ht="84.9" hidden="1" customHeight="1" x14ac:dyDescent="0.45">
      <c r="A101" s="19">
        <v>85</v>
      </c>
      <c r="B101" s="19" t="s">
        <v>587</v>
      </c>
      <c r="C101" s="19" t="s">
        <v>674</v>
      </c>
      <c r="D101" s="19">
        <v>1978</v>
      </c>
      <c r="E101" s="19">
        <v>9</v>
      </c>
      <c r="F101" s="19">
        <v>2</v>
      </c>
      <c r="G101" s="39">
        <v>8848.2999999999993</v>
      </c>
      <c r="H101" s="23">
        <v>7651.1</v>
      </c>
      <c r="I101" s="19" t="s">
        <v>364</v>
      </c>
      <c r="J101" s="19" t="s">
        <v>364</v>
      </c>
      <c r="K101" s="19" t="s">
        <v>365</v>
      </c>
      <c r="L101" s="19" t="s">
        <v>366</v>
      </c>
      <c r="M101" s="19"/>
      <c r="N101" s="28"/>
      <c r="O101" s="28"/>
      <c r="P101" s="28"/>
      <c r="Q101" s="28"/>
      <c r="R101" s="28"/>
      <c r="S101" s="28"/>
      <c r="T101" s="28"/>
      <c r="U101" s="28">
        <v>4800000</v>
      </c>
      <c r="V101" s="28"/>
      <c r="W101" s="28"/>
      <c r="X101" s="28"/>
      <c r="Y101" s="28"/>
      <c r="Z101" s="28"/>
      <c r="AA101" s="28">
        <f t="shared" si="9"/>
        <v>4800000</v>
      </c>
      <c r="AB101" s="28">
        <v>960000</v>
      </c>
      <c r="AC101" s="28"/>
      <c r="AD101" s="28">
        <v>3840000</v>
      </c>
      <c r="AE101" s="37"/>
      <c r="AF101" s="19">
        <v>2020</v>
      </c>
      <c r="AG101" s="19">
        <v>2022</v>
      </c>
    </row>
    <row r="102" spans="1:33" ht="84.9" hidden="1" customHeight="1" x14ac:dyDescent="0.45">
      <c r="A102" s="19">
        <v>86</v>
      </c>
      <c r="B102" s="19" t="s">
        <v>587</v>
      </c>
      <c r="C102" s="19" t="s">
        <v>675</v>
      </c>
      <c r="D102" s="19">
        <v>1978</v>
      </c>
      <c r="E102" s="19">
        <v>9</v>
      </c>
      <c r="F102" s="19">
        <v>4</v>
      </c>
      <c r="G102" s="39">
        <v>4468.6000000000004</v>
      </c>
      <c r="H102" s="23">
        <v>3725.3</v>
      </c>
      <c r="I102" s="19" t="s">
        <v>364</v>
      </c>
      <c r="J102" s="19" t="s">
        <v>364</v>
      </c>
      <c r="K102" s="19" t="s">
        <v>365</v>
      </c>
      <c r="L102" s="19" t="s">
        <v>366</v>
      </c>
      <c r="M102" s="19"/>
      <c r="N102" s="28"/>
      <c r="O102" s="28"/>
      <c r="P102" s="28"/>
      <c r="Q102" s="28"/>
      <c r="R102" s="28"/>
      <c r="S102" s="28"/>
      <c r="T102" s="28"/>
      <c r="U102" s="28">
        <v>9600000</v>
      </c>
      <c r="V102" s="28"/>
      <c r="W102" s="28"/>
      <c r="X102" s="28"/>
      <c r="Y102" s="28"/>
      <c r="Z102" s="28"/>
      <c r="AA102" s="28">
        <f t="shared" si="9"/>
        <v>9600000</v>
      </c>
      <c r="AB102" s="28">
        <v>1920000</v>
      </c>
      <c r="AC102" s="28"/>
      <c r="AD102" s="28">
        <v>7680000</v>
      </c>
      <c r="AE102" s="37"/>
      <c r="AF102" s="19">
        <v>2020</v>
      </c>
      <c r="AG102" s="19">
        <v>2022</v>
      </c>
    </row>
    <row r="103" spans="1:33" ht="84.9" hidden="1" customHeight="1" x14ac:dyDescent="0.45">
      <c r="A103" s="19">
        <v>87</v>
      </c>
      <c r="B103" s="19" t="s">
        <v>587</v>
      </c>
      <c r="C103" s="19" t="s">
        <v>676</v>
      </c>
      <c r="D103" s="19">
        <v>1979</v>
      </c>
      <c r="E103" s="19">
        <v>9</v>
      </c>
      <c r="F103" s="19">
        <v>1</v>
      </c>
      <c r="G103" s="39">
        <v>4509.3</v>
      </c>
      <c r="H103" s="23">
        <v>3864.8</v>
      </c>
      <c r="I103" s="19" t="s">
        <v>364</v>
      </c>
      <c r="J103" s="19" t="s">
        <v>364</v>
      </c>
      <c r="K103" s="19" t="s">
        <v>365</v>
      </c>
      <c r="L103" s="19" t="s">
        <v>366</v>
      </c>
      <c r="M103" s="19"/>
      <c r="N103" s="28"/>
      <c r="O103" s="28"/>
      <c r="P103" s="28"/>
      <c r="Q103" s="28"/>
      <c r="R103" s="28"/>
      <c r="S103" s="28"/>
      <c r="T103" s="28"/>
      <c r="U103" s="28">
        <v>2400000</v>
      </c>
      <c r="V103" s="28"/>
      <c r="W103" s="28"/>
      <c r="X103" s="28"/>
      <c r="Y103" s="28"/>
      <c r="Z103" s="28"/>
      <c r="AA103" s="28">
        <f t="shared" si="9"/>
        <v>2400000</v>
      </c>
      <c r="AB103" s="28">
        <v>480000</v>
      </c>
      <c r="AC103" s="28"/>
      <c r="AD103" s="28">
        <v>1920000</v>
      </c>
      <c r="AE103" s="37"/>
      <c r="AF103" s="19">
        <v>2020</v>
      </c>
      <c r="AG103" s="19">
        <v>2022</v>
      </c>
    </row>
    <row r="104" spans="1:33" ht="84.9" hidden="1" customHeight="1" x14ac:dyDescent="0.45">
      <c r="A104" s="19">
        <v>88</v>
      </c>
      <c r="B104" s="19" t="s">
        <v>587</v>
      </c>
      <c r="C104" s="19" t="s">
        <v>677</v>
      </c>
      <c r="D104" s="19">
        <v>1978</v>
      </c>
      <c r="E104" s="19">
        <v>9</v>
      </c>
      <c r="F104" s="19">
        <v>2</v>
      </c>
      <c r="G104" s="39">
        <v>2964.4</v>
      </c>
      <c r="H104" s="23">
        <v>2818.3</v>
      </c>
      <c r="I104" s="19" t="s">
        <v>364</v>
      </c>
      <c r="J104" s="19" t="s">
        <v>364</v>
      </c>
      <c r="K104" s="19" t="s">
        <v>365</v>
      </c>
      <c r="L104" s="19" t="s">
        <v>366</v>
      </c>
      <c r="M104" s="19"/>
      <c r="N104" s="28"/>
      <c r="O104" s="28"/>
      <c r="P104" s="28"/>
      <c r="Q104" s="28"/>
      <c r="R104" s="28"/>
      <c r="S104" s="28"/>
      <c r="T104" s="28"/>
      <c r="U104" s="28">
        <v>4800000</v>
      </c>
      <c r="V104" s="28"/>
      <c r="W104" s="28"/>
      <c r="X104" s="28"/>
      <c r="Y104" s="28"/>
      <c r="Z104" s="28"/>
      <c r="AA104" s="28">
        <f t="shared" si="9"/>
        <v>4800000</v>
      </c>
      <c r="AB104" s="28">
        <v>960000</v>
      </c>
      <c r="AC104" s="28"/>
      <c r="AD104" s="28">
        <v>3840000</v>
      </c>
      <c r="AE104" s="37"/>
      <c r="AF104" s="19">
        <v>2020</v>
      </c>
      <c r="AG104" s="19">
        <v>2022</v>
      </c>
    </row>
    <row r="105" spans="1:33" ht="84.9" hidden="1" customHeight="1" x14ac:dyDescent="0.45">
      <c r="A105" s="19">
        <v>89</v>
      </c>
      <c r="B105" s="19" t="s">
        <v>587</v>
      </c>
      <c r="C105" s="19" t="s">
        <v>678</v>
      </c>
      <c r="D105" s="19">
        <v>1979</v>
      </c>
      <c r="E105" s="19">
        <v>9</v>
      </c>
      <c r="F105" s="19">
        <v>1</v>
      </c>
      <c r="G105" s="39">
        <v>6039.2</v>
      </c>
      <c r="H105" s="23">
        <v>5224.3999999999996</v>
      </c>
      <c r="I105" s="19" t="s">
        <v>364</v>
      </c>
      <c r="J105" s="19" t="s">
        <v>364</v>
      </c>
      <c r="K105" s="19" t="s">
        <v>365</v>
      </c>
      <c r="L105" s="19" t="s">
        <v>366</v>
      </c>
      <c r="M105" s="19"/>
      <c r="N105" s="28"/>
      <c r="O105" s="28"/>
      <c r="P105" s="28"/>
      <c r="Q105" s="28"/>
      <c r="R105" s="28"/>
      <c r="S105" s="28"/>
      <c r="T105" s="28"/>
      <c r="U105" s="28">
        <v>2400000</v>
      </c>
      <c r="V105" s="28"/>
      <c r="W105" s="28"/>
      <c r="X105" s="28"/>
      <c r="Y105" s="28"/>
      <c r="Z105" s="28"/>
      <c r="AA105" s="28">
        <f t="shared" si="9"/>
        <v>2400000</v>
      </c>
      <c r="AB105" s="28">
        <v>480000</v>
      </c>
      <c r="AC105" s="28"/>
      <c r="AD105" s="28">
        <v>1920000</v>
      </c>
      <c r="AE105" s="37"/>
      <c r="AF105" s="19">
        <v>2020</v>
      </c>
      <c r="AG105" s="19">
        <v>2022</v>
      </c>
    </row>
    <row r="106" spans="1:33" ht="84.9" hidden="1" customHeight="1" x14ac:dyDescent="0.45">
      <c r="A106" s="19">
        <v>90</v>
      </c>
      <c r="B106" s="19" t="s">
        <v>587</v>
      </c>
      <c r="C106" s="19" t="s">
        <v>679</v>
      </c>
      <c r="D106" s="19">
        <v>1979</v>
      </c>
      <c r="E106" s="19">
        <v>9</v>
      </c>
      <c r="F106" s="19">
        <v>2</v>
      </c>
      <c r="G106" s="39">
        <v>6039.2</v>
      </c>
      <c r="H106" s="23">
        <v>5224.3999999999996</v>
      </c>
      <c r="I106" s="19" t="s">
        <v>364</v>
      </c>
      <c r="J106" s="19" t="s">
        <v>364</v>
      </c>
      <c r="K106" s="19" t="s">
        <v>365</v>
      </c>
      <c r="L106" s="19" t="s">
        <v>366</v>
      </c>
      <c r="M106" s="19"/>
      <c r="N106" s="28"/>
      <c r="O106" s="28"/>
      <c r="P106" s="28"/>
      <c r="Q106" s="28"/>
      <c r="R106" s="28"/>
      <c r="S106" s="28"/>
      <c r="T106" s="28"/>
      <c r="U106" s="28">
        <v>4800000</v>
      </c>
      <c r="V106" s="28"/>
      <c r="W106" s="28"/>
      <c r="X106" s="28"/>
      <c r="Y106" s="28"/>
      <c r="Z106" s="28"/>
      <c r="AA106" s="28">
        <f t="shared" si="9"/>
        <v>4800000</v>
      </c>
      <c r="AB106" s="28">
        <v>960000</v>
      </c>
      <c r="AC106" s="28"/>
      <c r="AD106" s="28">
        <v>3840000</v>
      </c>
      <c r="AE106" s="37"/>
      <c r="AF106" s="19">
        <v>2020</v>
      </c>
      <c r="AG106" s="19">
        <v>2022</v>
      </c>
    </row>
    <row r="107" spans="1:33" ht="84.9" hidden="1" customHeight="1" x14ac:dyDescent="0.45">
      <c r="A107" s="19">
        <v>91</v>
      </c>
      <c r="B107" s="19" t="s">
        <v>587</v>
      </c>
      <c r="C107" s="19" t="s">
        <v>680</v>
      </c>
      <c r="D107" s="19">
        <v>1975</v>
      </c>
      <c r="E107" s="19">
        <v>9</v>
      </c>
      <c r="F107" s="19">
        <v>3</v>
      </c>
      <c r="G107" s="39">
        <v>9160.5</v>
      </c>
      <c r="H107" s="23">
        <v>7895.2</v>
      </c>
      <c r="I107" s="19" t="s">
        <v>364</v>
      </c>
      <c r="J107" s="19" t="s">
        <v>364</v>
      </c>
      <c r="K107" s="19" t="s">
        <v>365</v>
      </c>
      <c r="L107" s="19" t="s">
        <v>366</v>
      </c>
      <c r="M107" s="19"/>
      <c r="N107" s="28"/>
      <c r="O107" s="28"/>
      <c r="P107" s="28"/>
      <c r="Q107" s="28"/>
      <c r="R107" s="28"/>
      <c r="S107" s="28"/>
      <c r="T107" s="28"/>
      <c r="U107" s="28">
        <v>7200000</v>
      </c>
      <c r="V107" s="28"/>
      <c r="W107" s="28"/>
      <c r="X107" s="28"/>
      <c r="Y107" s="28"/>
      <c r="Z107" s="28"/>
      <c r="AA107" s="28">
        <f t="shared" si="9"/>
        <v>7200000</v>
      </c>
      <c r="AB107" s="28">
        <v>1440000</v>
      </c>
      <c r="AC107" s="28"/>
      <c r="AD107" s="28">
        <v>5760000</v>
      </c>
      <c r="AE107" s="37"/>
      <c r="AF107" s="19">
        <v>2020</v>
      </c>
      <c r="AG107" s="19">
        <v>2022</v>
      </c>
    </row>
    <row r="108" spans="1:33" ht="84.9" hidden="1" customHeight="1" x14ac:dyDescent="0.45">
      <c r="A108" s="19">
        <v>92</v>
      </c>
      <c r="B108" s="19" t="s">
        <v>587</v>
      </c>
      <c r="C108" s="19" t="s">
        <v>681</v>
      </c>
      <c r="D108" s="19">
        <v>1979</v>
      </c>
      <c r="E108" s="19">
        <v>9</v>
      </c>
      <c r="F108" s="19">
        <v>2</v>
      </c>
      <c r="G108" s="39">
        <v>4450.8</v>
      </c>
      <c r="H108" s="23">
        <v>3809.7</v>
      </c>
      <c r="I108" s="19" t="s">
        <v>364</v>
      </c>
      <c r="J108" s="19" t="s">
        <v>364</v>
      </c>
      <c r="K108" s="19" t="s">
        <v>365</v>
      </c>
      <c r="L108" s="19" t="s">
        <v>366</v>
      </c>
      <c r="M108" s="19"/>
      <c r="N108" s="28"/>
      <c r="O108" s="28"/>
      <c r="P108" s="28"/>
      <c r="Q108" s="28"/>
      <c r="R108" s="28"/>
      <c r="S108" s="28"/>
      <c r="T108" s="28"/>
      <c r="U108" s="28">
        <v>4800000</v>
      </c>
      <c r="V108" s="28"/>
      <c r="W108" s="28"/>
      <c r="X108" s="28"/>
      <c r="Y108" s="28"/>
      <c r="Z108" s="28"/>
      <c r="AA108" s="28">
        <f t="shared" si="9"/>
        <v>4800000</v>
      </c>
      <c r="AB108" s="28">
        <v>960000</v>
      </c>
      <c r="AC108" s="28"/>
      <c r="AD108" s="28">
        <v>3840000</v>
      </c>
      <c r="AE108" s="37"/>
      <c r="AF108" s="19">
        <v>2020</v>
      </c>
      <c r="AG108" s="19">
        <v>2022</v>
      </c>
    </row>
    <row r="109" spans="1:33" ht="84.9" hidden="1" customHeight="1" x14ac:dyDescent="0.45">
      <c r="A109" s="19">
        <v>93</v>
      </c>
      <c r="B109" s="19" t="s">
        <v>587</v>
      </c>
      <c r="C109" s="19" t="s">
        <v>682</v>
      </c>
      <c r="D109" s="19">
        <v>1979</v>
      </c>
      <c r="E109" s="19">
        <v>9</v>
      </c>
      <c r="F109" s="19">
        <v>1</v>
      </c>
      <c r="G109" s="39">
        <v>2381.5</v>
      </c>
      <c r="H109" s="23">
        <v>2381.5</v>
      </c>
      <c r="I109" s="19" t="s">
        <v>364</v>
      </c>
      <c r="J109" s="19" t="s">
        <v>364</v>
      </c>
      <c r="K109" s="19" t="s">
        <v>365</v>
      </c>
      <c r="L109" s="19" t="s">
        <v>366</v>
      </c>
      <c r="M109" s="19"/>
      <c r="N109" s="28"/>
      <c r="O109" s="28"/>
      <c r="P109" s="28"/>
      <c r="Q109" s="28"/>
      <c r="R109" s="28"/>
      <c r="S109" s="28"/>
      <c r="T109" s="28"/>
      <c r="U109" s="28">
        <v>2400000</v>
      </c>
      <c r="V109" s="28"/>
      <c r="W109" s="28"/>
      <c r="X109" s="28"/>
      <c r="Y109" s="28"/>
      <c r="Z109" s="28"/>
      <c r="AA109" s="28">
        <f t="shared" si="9"/>
        <v>2400000</v>
      </c>
      <c r="AB109" s="28">
        <v>480000</v>
      </c>
      <c r="AC109" s="28"/>
      <c r="AD109" s="28">
        <v>1920000</v>
      </c>
      <c r="AE109" s="37"/>
      <c r="AF109" s="19">
        <v>2020</v>
      </c>
      <c r="AG109" s="19">
        <v>2022</v>
      </c>
    </row>
    <row r="110" spans="1:33" ht="84.9" hidden="1" customHeight="1" x14ac:dyDescent="0.45">
      <c r="A110" s="19">
        <v>94</v>
      </c>
      <c r="B110" s="19" t="s">
        <v>587</v>
      </c>
      <c r="C110" s="19" t="s">
        <v>683</v>
      </c>
      <c r="D110" s="19">
        <v>1978</v>
      </c>
      <c r="E110" s="19">
        <v>9</v>
      </c>
      <c r="F110" s="19">
        <v>2</v>
      </c>
      <c r="G110" s="39">
        <v>4502.3999999999996</v>
      </c>
      <c r="H110" s="23">
        <v>3846.2</v>
      </c>
      <c r="I110" s="19" t="s">
        <v>364</v>
      </c>
      <c r="J110" s="19" t="s">
        <v>364</v>
      </c>
      <c r="K110" s="19" t="s">
        <v>365</v>
      </c>
      <c r="L110" s="19" t="s">
        <v>366</v>
      </c>
      <c r="M110" s="19"/>
      <c r="N110" s="28"/>
      <c r="O110" s="28"/>
      <c r="P110" s="28"/>
      <c r="Q110" s="28"/>
      <c r="R110" s="28"/>
      <c r="S110" s="28"/>
      <c r="T110" s="28"/>
      <c r="U110" s="28">
        <v>4800000</v>
      </c>
      <c r="V110" s="28"/>
      <c r="W110" s="28"/>
      <c r="X110" s="28"/>
      <c r="Y110" s="28"/>
      <c r="Z110" s="28"/>
      <c r="AA110" s="28">
        <f t="shared" si="9"/>
        <v>4800000</v>
      </c>
      <c r="AB110" s="28">
        <v>960000</v>
      </c>
      <c r="AC110" s="28"/>
      <c r="AD110" s="28">
        <v>3840000</v>
      </c>
      <c r="AE110" s="37"/>
      <c r="AF110" s="19">
        <v>2020</v>
      </c>
      <c r="AG110" s="19">
        <v>2022</v>
      </c>
    </row>
    <row r="111" spans="1:33" ht="84.9" hidden="1" customHeight="1" x14ac:dyDescent="0.45">
      <c r="A111" s="19">
        <v>95</v>
      </c>
      <c r="B111" s="19" t="s">
        <v>587</v>
      </c>
      <c r="C111" s="19" t="s">
        <v>684</v>
      </c>
      <c r="D111" s="19">
        <v>1978</v>
      </c>
      <c r="E111" s="19">
        <v>9</v>
      </c>
      <c r="F111" s="19">
        <v>2</v>
      </c>
      <c r="G111" s="39">
        <v>3597.2</v>
      </c>
      <c r="H111" s="23">
        <v>2800.9</v>
      </c>
      <c r="I111" s="19" t="s">
        <v>364</v>
      </c>
      <c r="J111" s="19" t="s">
        <v>364</v>
      </c>
      <c r="K111" s="19" t="s">
        <v>365</v>
      </c>
      <c r="L111" s="19" t="s">
        <v>366</v>
      </c>
      <c r="M111" s="19"/>
      <c r="N111" s="28"/>
      <c r="O111" s="28"/>
      <c r="P111" s="28"/>
      <c r="Q111" s="28"/>
      <c r="R111" s="28"/>
      <c r="S111" s="28"/>
      <c r="T111" s="28"/>
      <c r="U111" s="28">
        <v>4800000</v>
      </c>
      <c r="V111" s="28"/>
      <c r="W111" s="28"/>
      <c r="X111" s="28"/>
      <c r="Y111" s="28"/>
      <c r="Z111" s="28"/>
      <c r="AA111" s="28">
        <f t="shared" si="9"/>
        <v>4800000</v>
      </c>
      <c r="AB111" s="28">
        <v>960000</v>
      </c>
      <c r="AC111" s="28"/>
      <c r="AD111" s="28">
        <v>3840000</v>
      </c>
      <c r="AE111" s="37"/>
      <c r="AF111" s="19">
        <v>2020</v>
      </c>
      <c r="AG111" s="19">
        <v>2022</v>
      </c>
    </row>
    <row r="112" spans="1:33" ht="84.9" hidden="1" customHeight="1" x14ac:dyDescent="0.45">
      <c r="A112" s="19">
        <v>96</v>
      </c>
      <c r="B112" s="19" t="s">
        <v>587</v>
      </c>
      <c r="C112" s="19" t="s">
        <v>685</v>
      </c>
      <c r="D112" s="19">
        <v>1979</v>
      </c>
      <c r="E112" s="19">
        <v>9</v>
      </c>
      <c r="F112" s="19">
        <v>2</v>
      </c>
      <c r="G112" s="39">
        <v>4537.8999999999996</v>
      </c>
      <c r="H112" s="23">
        <v>3871.8</v>
      </c>
      <c r="I112" s="19" t="s">
        <v>364</v>
      </c>
      <c r="J112" s="19" t="s">
        <v>364</v>
      </c>
      <c r="K112" s="19" t="s">
        <v>365</v>
      </c>
      <c r="L112" s="19" t="s">
        <v>366</v>
      </c>
      <c r="M112" s="19"/>
      <c r="N112" s="28"/>
      <c r="O112" s="28"/>
      <c r="P112" s="28"/>
      <c r="Q112" s="28"/>
      <c r="R112" s="28"/>
      <c r="S112" s="28"/>
      <c r="T112" s="28"/>
      <c r="U112" s="28">
        <v>4800000</v>
      </c>
      <c r="V112" s="28"/>
      <c r="W112" s="28"/>
      <c r="X112" s="28"/>
      <c r="Y112" s="28"/>
      <c r="Z112" s="28"/>
      <c r="AA112" s="28">
        <f t="shared" si="9"/>
        <v>4800000</v>
      </c>
      <c r="AB112" s="28">
        <v>960000</v>
      </c>
      <c r="AC112" s="28"/>
      <c r="AD112" s="28">
        <v>3840000</v>
      </c>
      <c r="AE112" s="37"/>
      <c r="AF112" s="19">
        <v>2020</v>
      </c>
      <c r="AG112" s="19">
        <v>2022</v>
      </c>
    </row>
    <row r="113" spans="1:33" ht="84.9" hidden="1" customHeight="1" x14ac:dyDescent="0.45">
      <c r="A113" s="19">
        <v>97</v>
      </c>
      <c r="B113" s="19" t="s">
        <v>587</v>
      </c>
      <c r="C113" s="19" t="s">
        <v>686</v>
      </c>
      <c r="D113" s="19">
        <v>1979</v>
      </c>
      <c r="E113" s="19">
        <v>9</v>
      </c>
      <c r="F113" s="19">
        <v>1</v>
      </c>
      <c r="G113" s="39">
        <v>3650.6</v>
      </c>
      <c r="H113" s="23">
        <v>2832.3</v>
      </c>
      <c r="I113" s="19" t="s">
        <v>364</v>
      </c>
      <c r="J113" s="19" t="s">
        <v>364</v>
      </c>
      <c r="K113" s="19" t="s">
        <v>365</v>
      </c>
      <c r="L113" s="19" t="s">
        <v>366</v>
      </c>
      <c r="M113" s="19"/>
      <c r="N113" s="28"/>
      <c r="O113" s="28"/>
      <c r="P113" s="28"/>
      <c r="Q113" s="28"/>
      <c r="R113" s="28"/>
      <c r="S113" s="28"/>
      <c r="T113" s="28"/>
      <c r="U113" s="28">
        <v>2400000</v>
      </c>
      <c r="V113" s="28"/>
      <c r="W113" s="28"/>
      <c r="X113" s="28"/>
      <c r="Y113" s="28"/>
      <c r="Z113" s="28"/>
      <c r="AA113" s="28">
        <f t="shared" si="9"/>
        <v>2400000</v>
      </c>
      <c r="AB113" s="28">
        <v>480000</v>
      </c>
      <c r="AC113" s="28"/>
      <c r="AD113" s="28">
        <v>1920000</v>
      </c>
      <c r="AE113" s="37"/>
      <c r="AF113" s="19">
        <v>2020</v>
      </c>
      <c r="AG113" s="19">
        <v>2022</v>
      </c>
    </row>
    <row r="114" spans="1:33" ht="84.9" hidden="1" customHeight="1" x14ac:dyDescent="0.45">
      <c r="A114" s="19">
        <v>98</v>
      </c>
      <c r="B114" s="19" t="s">
        <v>587</v>
      </c>
      <c r="C114" s="19" t="s">
        <v>687</v>
      </c>
      <c r="D114" s="19">
        <v>1979</v>
      </c>
      <c r="E114" s="19">
        <v>9</v>
      </c>
      <c r="F114" s="19">
        <v>6</v>
      </c>
      <c r="G114" s="39">
        <v>13054</v>
      </c>
      <c r="H114" s="23">
        <v>11807.27</v>
      </c>
      <c r="I114" s="19" t="s">
        <v>364</v>
      </c>
      <c r="J114" s="19" t="s">
        <v>364</v>
      </c>
      <c r="K114" s="19" t="s">
        <v>365</v>
      </c>
      <c r="L114" s="19" t="s">
        <v>366</v>
      </c>
      <c r="M114" s="19"/>
      <c r="N114" s="28"/>
      <c r="O114" s="28"/>
      <c r="P114" s="28"/>
      <c r="Q114" s="28"/>
      <c r="R114" s="28"/>
      <c r="S114" s="28"/>
      <c r="T114" s="28"/>
      <c r="U114" s="28">
        <v>14400000</v>
      </c>
      <c r="V114" s="28"/>
      <c r="W114" s="28"/>
      <c r="X114" s="28"/>
      <c r="Y114" s="28"/>
      <c r="Z114" s="28"/>
      <c r="AA114" s="28">
        <f t="shared" si="9"/>
        <v>14400000</v>
      </c>
      <c r="AB114" s="28">
        <v>2880000</v>
      </c>
      <c r="AC114" s="28"/>
      <c r="AD114" s="28">
        <v>11520000</v>
      </c>
      <c r="AE114" s="37"/>
      <c r="AF114" s="19">
        <v>2020</v>
      </c>
      <c r="AG114" s="19">
        <v>2022</v>
      </c>
    </row>
    <row r="115" spans="1:33" ht="84.9" hidden="1" customHeight="1" x14ac:dyDescent="0.45">
      <c r="A115" s="19">
        <v>99</v>
      </c>
      <c r="B115" s="19" t="s">
        <v>587</v>
      </c>
      <c r="C115" s="19" t="s">
        <v>688</v>
      </c>
      <c r="D115" s="19">
        <v>1979</v>
      </c>
      <c r="E115" s="19">
        <v>9</v>
      </c>
      <c r="F115" s="19">
        <v>1</v>
      </c>
      <c r="G115" s="39">
        <v>3636</v>
      </c>
      <c r="H115" s="23">
        <v>2741.5</v>
      </c>
      <c r="I115" s="19" t="s">
        <v>364</v>
      </c>
      <c r="J115" s="19" t="s">
        <v>364</v>
      </c>
      <c r="K115" s="19" t="s">
        <v>365</v>
      </c>
      <c r="L115" s="19" t="s">
        <v>366</v>
      </c>
      <c r="M115" s="19"/>
      <c r="N115" s="28"/>
      <c r="O115" s="28"/>
      <c r="P115" s="28"/>
      <c r="Q115" s="28"/>
      <c r="R115" s="28"/>
      <c r="S115" s="28"/>
      <c r="T115" s="28"/>
      <c r="U115" s="28">
        <v>2400000</v>
      </c>
      <c r="V115" s="28"/>
      <c r="W115" s="28"/>
      <c r="X115" s="28"/>
      <c r="Y115" s="28"/>
      <c r="Z115" s="28"/>
      <c r="AA115" s="28">
        <f t="shared" si="9"/>
        <v>2400000</v>
      </c>
      <c r="AB115" s="28">
        <v>480000</v>
      </c>
      <c r="AC115" s="28"/>
      <c r="AD115" s="28">
        <v>1920000</v>
      </c>
      <c r="AE115" s="37"/>
      <c r="AF115" s="19">
        <v>2020</v>
      </c>
      <c r="AG115" s="19">
        <v>2022</v>
      </c>
    </row>
    <row r="116" spans="1:33" ht="84.9" hidden="1" customHeight="1" x14ac:dyDescent="0.45">
      <c r="A116" s="19">
        <v>100</v>
      </c>
      <c r="B116" s="19" t="s">
        <v>587</v>
      </c>
      <c r="C116" s="19" t="s">
        <v>689</v>
      </c>
      <c r="D116" s="19">
        <v>1979</v>
      </c>
      <c r="E116" s="19">
        <v>9</v>
      </c>
      <c r="F116" s="19">
        <v>2</v>
      </c>
      <c r="G116" s="39">
        <v>4510.2</v>
      </c>
      <c r="H116" s="23">
        <v>3860.3</v>
      </c>
      <c r="I116" s="19" t="s">
        <v>364</v>
      </c>
      <c r="J116" s="19" t="s">
        <v>364</v>
      </c>
      <c r="K116" s="19" t="s">
        <v>365</v>
      </c>
      <c r="L116" s="19" t="s">
        <v>366</v>
      </c>
      <c r="M116" s="19"/>
      <c r="N116" s="28"/>
      <c r="O116" s="28"/>
      <c r="P116" s="28"/>
      <c r="Q116" s="28"/>
      <c r="R116" s="28"/>
      <c r="S116" s="28"/>
      <c r="T116" s="28"/>
      <c r="U116" s="28">
        <v>4800000</v>
      </c>
      <c r="V116" s="28"/>
      <c r="W116" s="28"/>
      <c r="X116" s="28"/>
      <c r="Y116" s="28"/>
      <c r="Z116" s="28"/>
      <c r="AA116" s="28">
        <f t="shared" si="9"/>
        <v>4800000</v>
      </c>
      <c r="AB116" s="28">
        <v>960000</v>
      </c>
      <c r="AC116" s="28"/>
      <c r="AD116" s="28">
        <v>3840000</v>
      </c>
      <c r="AE116" s="37"/>
      <c r="AF116" s="19">
        <v>2020</v>
      </c>
      <c r="AG116" s="19">
        <v>2022</v>
      </c>
    </row>
    <row r="117" spans="1:33" ht="84.9" hidden="1" customHeight="1" x14ac:dyDescent="0.45">
      <c r="A117" s="19">
        <v>101</v>
      </c>
      <c r="B117" s="19" t="s">
        <v>587</v>
      </c>
      <c r="C117" s="19" t="s">
        <v>690</v>
      </c>
      <c r="D117" s="19">
        <v>1979</v>
      </c>
      <c r="E117" s="19">
        <v>9</v>
      </c>
      <c r="F117" s="19">
        <v>2</v>
      </c>
      <c r="G117" s="39">
        <v>4480.8999999999996</v>
      </c>
      <c r="H117" s="23">
        <v>3839.7</v>
      </c>
      <c r="I117" s="19" t="s">
        <v>364</v>
      </c>
      <c r="J117" s="19" t="s">
        <v>364</v>
      </c>
      <c r="K117" s="19" t="s">
        <v>365</v>
      </c>
      <c r="L117" s="19" t="s">
        <v>366</v>
      </c>
      <c r="M117" s="19"/>
      <c r="N117" s="28"/>
      <c r="O117" s="28"/>
      <c r="P117" s="28"/>
      <c r="Q117" s="28"/>
      <c r="R117" s="28"/>
      <c r="S117" s="28"/>
      <c r="T117" s="28"/>
      <c r="U117" s="28">
        <v>4800000</v>
      </c>
      <c r="V117" s="28"/>
      <c r="W117" s="28"/>
      <c r="X117" s="28"/>
      <c r="Y117" s="28"/>
      <c r="Z117" s="28"/>
      <c r="AA117" s="28">
        <f t="shared" si="9"/>
        <v>4800000</v>
      </c>
      <c r="AB117" s="28">
        <v>960000</v>
      </c>
      <c r="AC117" s="28"/>
      <c r="AD117" s="28">
        <v>3840000</v>
      </c>
      <c r="AE117" s="37"/>
      <c r="AF117" s="19">
        <v>2020</v>
      </c>
      <c r="AG117" s="19">
        <v>2022</v>
      </c>
    </row>
    <row r="118" spans="1:33" ht="84.9" hidden="1" customHeight="1" x14ac:dyDescent="0.45">
      <c r="A118" s="19">
        <v>102</v>
      </c>
      <c r="B118" s="19" t="s">
        <v>587</v>
      </c>
      <c r="C118" s="19" t="s">
        <v>691</v>
      </c>
      <c r="D118" s="19">
        <v>1979</v>
      </c>
      <c r="E118" s="19">
        <v>9</v>
      </c>
      <c r="F118" s="19">
        <v>1</v>
      </c>
      <c r="G118" s="39">
        <v>6128.9</v>
      </c>
      <c r="H118" s="23">
        <v>5305.2</v>
      </c>
      <c r="I118" s="19" t="s">
        <v>364</v>
      </c>
      <c r="J118" s="19" t="s">
        <v>364</v>
      </c>
      <c r="K118" s="19" t="s">
        <v>460</v>
      </c>
      <c r="L118" s="19" t="s">
        <v>366</v>
      </c>
      <c r="M118" s="19"/>
      <c r="N118" s="28"/>
      <c r="O118" s="28"/>
      <c r="P118" s="28"/>
      <c r="Q118" s="28"/>
      <c r="R118" s="28"/>
      <c r="S118" s="28"/>
      <c r="T118" s="28"/>
      <c r="U118" s="28">
        <v>2400000</v>
      </c>
      <c r="V118" s="28"/>
      <c r="W118" s="28"/>
      <c r="X118" s="28"/>
      <c r="Y118" s="28"/>
      <c r="Z118" s="28"/>
      <c r="AA118" s="28">
        <f t="shared" si="9"/>
        <v>2400000</v>
      </c>
      <c r="AB118" s="28">
        <v>480000</v>
      </c>
      <c r="AC118" s="28"/>
      <c r="AD118" s="28">
        <v>1920000</v>
      </c>
      <c r="AE118" s="37"/>
      <c r="AF118" s="19">
        <v>2020</v>
      </c>
      <c r="AG118" s="19">
        <v>2022</v>
      </c>
    </row>
    <row r="119" spans="1:33" ht="84.9" hidden="1" customHeight="1" x14ac:dyDescent="0.45">
      <c r="A119" s="19">
        <v>103</v>
      </c>
      <c r="B119" s="19" t="s">
        <v>587</v>
      </c>
      <c r="C119" s="19" t="s">
        <v>692</v>
      </c>
      <c r="D119" s="19">
        <v>1979</v>
      </c>
      <c r="E119" s="19">
        <v>9</v>
      </c>
      <c r="F119" s="19">
        <v>2</v>
      </c>
      <c r="G119" s="39">
        <v>6110.3</v>
      </c>
      <c r="H119" s="23">
        <v>5273.9</v>
      </c>
      <c r="I119" s="19" t="s">
        <v>364</v>
      </c>
      <c r="J119" s="19" t="s">
        <v>364</v>
      </c>
      <c r="K119" s="19" t="s">
        <v>365</v>
      </c>
      <c r="L119" s="19" t="s">
        <v>366</v>
      </c>
      <c r="M119" s="19"/>
      <c r="N119" s="28"/>
      <c r="O119" s="28"/>
      <c r="P119" s="28"/>
      <c r="Q119" s="28"/>
      <c r="R119" s="28"/>
      <c r="S119" s="28"/>
      <c r="T119" s="28"/>
      <c r="U119" s="28">
        <v>4800000</v>
      </c>
      <c r="V119" s="28"/>
      <c r="W119" s="28"/>
      <c r="X119" s="28"/>
      <c r="Y119" s="28"/>
      <c r="Z119" s="28"/>
      <c r="AA119" s="28">
        <f t="shared" si="9"/>
        <v>4800000</v>
      </c>
      <c r="AB119" s="28">
        <v>960000</v>
      </c>
      <c r="AC119" s="28"/>
      <c r="AD119" s="28">
        <v>3840000</v>
      </c>
      <c r="AE119" s="37"/>
      <c r="AF119" s="19">
        <v>2020</v>
      </c>
      <c r="AG119" s="19">
        <v>2022</v>
      </c>
    </row>
    <row r="120" spans="1:33" ht="84.9" hidden="1" customHeight="1" x14ac:dyDescent="0.45">
      <c r="A120" s="19">
        <v>104</v>
      </c>
      <c r="B120" s="19" t="s">
        <v>587</v>
      </c>
      <c r="C120" s="19" t="s">
        <v>693</v>
      </c>
      <c r="D120" s="19">
        <v>1977</v>
      </c>
      <c r="E120" s="19">
        <v>9</v>
      </c>
      <c r="F120" s="19">
        <v>2</v>
      </c>
      <c r="G120" s="39">
        <v>7320.32</v>
      </c>
      <c r="H120" s="23">
        <v>6470.8</v>
      </c>
      <c r="I120" s="19">
        <v>5262.1</v>
      </c>
      <c r="J120" s="19">
        <v>206</v>
      </c>
      <c r="K120" s="19" t="s">
        <v>365</v>
      </c>
      <c r="L120" s="19" t="s">
        <v>366</v>
      </c>
      <c r="M120" s="19"/>
      <c r="N120" s="28"/>
      <c r="O120" s="28"/>
      <c r="P120" s="28"/>
      <c r="Q120" s="28"/>
      <c r="R120" s="28">
        <v>961324.71</v>
      </c>
      <c r="S120" s="28"/>
      <c r="T120" s="28"/>
      <c r="U120" s="28"/>
      <c r="V120" s="28"/>
      <c r="W120" s="28"/>
      <c r="X120" s="28"/>
      <c r="Y120" s="28"/>
      <c r="Z120" s="28">
        <v>55000</v>
      </c>
      <c r="AA120" s="28">
        <f>R120+Z120</f>
        <v>1016324.71</v>
      </c>
      <c r="AB120" s="28">
        <f>AA120</f>
        <v>1016324.71</v>
      </c>
      <c r="AC120" s="28"/>
      <c r="AD120" s="28"/>
      <c r="AE120" s="37"/>
      <c r="AF120" s="19">
        <v>2020</v>
      </c>
      <c r="AG120" s="19">
        <v>2021</v>
      </c>
    </row>
    <row r="121" spans="1:33" ht="84.9" hidden="1" customHeight="1" x14ac:dyDescent="0.45">
      <c r="A121" s="19">
        <v>105</v>
      </c>
      <c r="B121" s="19" t="s">
        <v>587</v>
      </c>
      <c r="C121" s="19" t="s">
        <v>694</v>
      </c>
      <c r="D121" s="19">
        <v>1960</v>
      </c>
      <c r="E121" s="19">
        <v>4</v>
      </c>
      <c r="F121" s="19">
        <v>2</v>
      </c>
      <c r="G121" s="39">
        <v>1664.6</v>
      </c>
      <c r="H121" s="23">
        <v>1545.1</v>
      </c>
      <c r="I121" s="19" t="s">
        <v>364</v>
      </c>
      <c r="J121" s="19" t="s">
        <v>364</v>
      </c>
      <c r="K121" s="19" t="s">
        <v>365</v>
      </c>
      <c r="L121" s="19" t="s">
        <v>366</v>
      </c>
      <c r="M121" s="19"/>
      <c r="N121" s="28"/>
      <c r="O121" s="28"/>
      <c r="P121" s="28"/>
      <c r="Q121" s="28"/>
      <c r="R121" s="28"/>
      <c r="S121" s="28"/>
      <c r="T121" s="28"/>
      <c r="U121" s="28"/>
      <c r="V121" s="28">
        <v>5103428.63</v>
      </c>
      <c r="W121" s="28"/>
      <c r="X121" s="28"/>
      <c r="Y121" s="28"/>
      <c r="Z121" s="28">
        <v>269304.05</v>
      </c>
      <c r="AA121" s="28">
        <f t="shared" ref="AA121:AA130" si="10">SUM(N121:Z121)</f>
        <v>5372732.6799999997</v>
      </c>
      <c r="AB121" s="28">
        <f t="shared" ref="AB121:AB129" si="11">SUM(O121:Z121)</f>
        <v>5372732.6799999997</v>
      </c>
      <c r="AC121" s="28"/>
      <c r="AD121" s="28"/>
      <c r="AE121" s="37"/>
      <c r="AF121" s="19">
        <v>2020</v>
      </c>
      <c r="AG121" s="19">
        <v>2022</v>
      </c>
    </row>
    <row r="122" spans="1:33" ht="84.9" hidden="1" customHeight="1" x14ac:dyDescent="0.45">
      <c r="A122" s="19">
        <v>106</v>
      </c>
      <c r="B122" s="19" t="s">
        <v>587</v>
      </c>
      <c r="C122" s="19" t="s">
        <v>695</v>
      </c>
      <c r="D122" s="19">
        <v>1965</v>
      </c>
      <c r="E122" s="19">
        <v>5</v>
      </c>
      <c r="F122" s="19">
        <v>3</v>
      </c>
      <c r="G122" s="39">
        <v>3274.1</v>
      </c>
      <c r="H122" s="23">
        <v>3080.4</v>
      </c>
      <c r="I122" s="19" t="s">
        <v>364</v>
      </c>
      <c r="J122" s="19" t="s">
        <v>364</v>
      </c>
      <c r="K122" s="19" t="s">
        <v>365</v>
      </c>
      <c r="L122" s="19" t="s">
        <v>366</v>
      </c>
      <c r="M122" s="19"/>
      <c r="N122" s="28"/>
      <c r="O122" s="28"/>
      <c r="P122" s="28"/>
      <c r="Q122" s="28"/>
      <c r="R122" s="28"/>
      <c r="S122" s="28"/>
      <c r="T122" s="28"/>
      <c r="U122" s="28"/>
      <c r="V122" s="28">
        <v>4706323</v>
      </c>
      <c r="W122" s="28"/>
      <c r="X122" s="28">
        <v>4607959</v>
      </c>
      <c r="Y122" s="28"/>
      <c r="Z122" s="28"/>
      <c r="AA122" s="28">
        <f t="shared" si="10"/>
        <v>9314282</v>
      </c>
      <c r="AB122" s="28">
        <f>SUM(N122:Z122)</f>
        <v>9314282</v>
      </c>
      <c r="AC122" s="28"/>
      <c r="AD122" s="28"/>
      <c r="AE122" s="37"/>
      <c r="AF122" s="19">
        <v>2020</v>
      </c>
      <c r="AG122" s="19">
        <v>2022</v>
      </c>
    </row>
    <row r="123" spans="1:33" ht="113.25" hidden="1" customHeight="1" x14ac:dyDescent="0.45">
      <c r="A123" s="19">
        <v>107</v>
      </c>
      <c r="B123" s="19" t="s">
        <v>587</v>
      </c>
      <c r="C123" s="19" t="s">
        <v>696</v>
      </c>
      <c r="D123" s="19">
        <v>1965</v>
      </c>
      <c r="E123" s="19">
        <v>5</v>
      </c>
      <c r="F123" s="19">
        <v>3</v>
      </c>
      <c r="G123" s="39">
        <v>3350.4</v>
      </c>
      <c r="H123" s="23">
        <v>3169.7</v>
      </c>
      <c r="I123" s="19" t="s">
        <v>364</v>
      </c>
      <c r="J123" s="19" t="s">
        <v>364</v>
      </c>
      <c r="K123" s="19" t="s">
        <v>365</v>
      </c>
      <c r="L123" s="19" t="s">
        <v>449</v>
      </c>
      <c r="M123" s="19"/>
      <c r="N123" s="28"/>
      <c r="O123" s="28"/>
      <c r="P123" s="28"/>
      <c r="Q123" s="28"/>
      <c r="R123" s="28"/>
      <c r="S123" s="28"/>
      <c r="T123" s="28"/>
      <c r="U123" s="28"/>
      <c r="V123" s="28">
        <v>4618207</v>
      </c>
      <c r="W123" s="28"/>
      <c r="X123" s="28">
        <v>4546542</v>
      </c>
      <c r="Y123" s="28"/>
      <c r="Z123" s="28"/>
      <c r="AA123" s="28">
        <f t="shared" si="10"/>
        <v>9164749</v>
      </c>
      <c r="AB123" s="28">
        <f>SUM(N123:Z123)</f>
        <v>9164749</v>
      </c>
      <c r="AC123" s="28"/>
      <c r="AD123" s="28"/>
      <c r="AE123" s="37"/>
      <c r="AF123" s="19">
        <v>2020</v>
      </c>
      <c r="AG123" s="19">
        <v>2022</v>
      </c>
    </row>
    <row r="124" spans="1:33" ht="84.9" hidden="1" customHeight="1" x14ac:dyDescent="0.45">
      <c r="A124" s="19">
        <v>108</v>
      </c>
      <c r="B124" s="19" t="s">
        <v>587</v>
      </c>
      <c r="C124" s="19" t="s">
        <v>697</v>
      </c>
      <c r="D124" s="19">
        <v>1935</v>
      </c>
      <c r="E124" s="19">
        <v>3</v>
      </c>
      <c r="F124" s="19">
        <v>3</v>
      </c>
      <c r="G124" s="39">
        <v>2068.4</v>
      </c>
      <c r="H124" s="23">
        <v>1925.7</v>
      </c>
      <c r="I124" s="19" t="s">
        <v>364</v>
      </c>
      <c r="J124" s="19" t="s">
        <v>364</v>
      </c>
      <c r="K124" s="19" t="s">
        <v>365</v>
      </c>
      <c r="L124" s="19" t="s">
        <v>366</v>
      </c>
      <c r="M124" s="19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>
        <v>3997297</v>
      </c>
      <c r="Y124" s="28"/>
      <c r="Z124" s="28">
        <v>321142.90999999997</v>
      </c>
      <c r="AA124" s="28">
        <f t="shared" si="10"/>
        <v>4318439.91</v>
      </c>
      <c r="AB124" s="28">
        <f t="shared" si="11"/>
        <v>4318439.91</v>
      </c>
      <c r="AC124" s="28"/>
      <c r="AD124" s="28"/>
      <c r="AE124" s="37"/>
      <c r="AF124" s="19">
        <v>2020</v>
      </c>
      <c r="AG124" s="19">
        <v>2022</v>
      </c>
    </row>
    <row r="125" spans="1:33" ht="84.9" hidden="1" customHeight="1" x14ac:dyDescent="0.45">
      <c r="A125" s="19">
        <v>109</v>
      </c>
      <c r="B125" s="19" t="s">
        <v>587</v>
      </c>
      <c r="C125" s="19" t="s">
        <v>698</v>
      </c>
      <c r="D125" s="19">
        <v>1962</v>
      </c>
      <c r="E125" s="19">
        <v>5</v>
      </c>
      <c r="F125" s="19">
        <v>2</v>
      </c>
      <c r="G125" s="39">
        <v>1776.8</v>
      </c>
      <c r="H125" s="23">
        <v>1642.8</v>
      </c>
      <c r="I125" s="19" t="s">
        <v>364</v>
      </c>
      <c r="J125" s="19" t="s">
        <v>364</v>
      </c>
      <c r="K125" s="19" t="s">
        <v>365</v>
      </c>
      <c r="L125" s="19" t="s">
        <v>366</v>
      </c>
      <c r="M125" s="19"/>
      <c r="N125" s="28"/>
      <c r="O125" s="28"/>
      <c r="P125" s="28"/>
      <c r="Q125" s="28"/>
      <c r="R125" s="28"/>
      <c r="S125" s="28"/>
      <c r="T125" s="28"/>
      <c r="U125" s="28"/>
      <c r="V125" s="28">
        <v>3386798</v>
      </c>
      <c r="W125" s="28"/>
      <c r="X125" s="28">
        <v>3056137</v>
      </c>
      <c r="Y125" s="28"/>
      <c r="Z125" s="28"/>
      <c r="AA125" s="28">
        <f t="shared" si="10"/>
        <v>6442935</v>
      </c>
      <c r="AB125" s="28">
        <f t="shared" si="11"/>
        <v>6442935</v>
      </c>
      <c r="AC125" s="28"/>
      <c r="AD125" s="28"/>
      <c r="AE125" s="37"/>
      <c r="AF125" s="19">
        <v>2020</v>
      </c>
      <c r="AG125" s="19">
        <v>2022</v>
      </c>
    </row>
    <row r="126" spans="1:33" ht="113.25" hidden="1" customHeight="1" x14ac:dyDescent="0.45">
      <c r="A126" s="19">
        <v>110</v>
      </c>
      <c r="B126" s="19" t="s">
        <v>587</v>
      </c>
      <c r="C126" s="19" t="s">
        <v>269</v>
      </c>
      <c r="D126" s="19">
        <v>1961</v>
      </c>
      <c r="E126" s="19">
        <v>5</v>
      </c>
      <c r="F126" s="19">
        <v>7</v>
      </c>
      <c r="G126" s="39">
        <v>8701</v>
      </c>
      <c r="H126" s="23">
        <v>7971.7</v>
      </c>
      <c r="I126" s="19" t="s">
        <v>364</v>
      </c>
      <c r="J126" s="19" t="s">
        <v>364</v>
      </c>
      <c r="K126" s="19" t="s">
        <v>365</v>
      </c>
      <c r="L126" s="19" t="s">
        <v>449</v>
      </c>
      <c r="M126" s="19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>
        <v>12884722</v>
      </c>
      <c r="Y126" s="28"/>
      <c r="Z126" s="28"/>
      <c r="AA126" s="28">
        <f t="shared" si="10"/>
        <v>12884722</v>
      </c>
      <c r="AB126" s="28">
        <f t="shared" si="11"/>
        <v>12884722</v>
      </c>
      <c r="AC126" s="28"/>
      <c r="AD126" s="28"/>
      <c r="AE126" s="37"/>
      <c r="AF126" s="19">
        <v>2020</v>
      </c>
      <c r="AG126" s="19">
        <v>2022</v>
      </c>
    </row>
    <row r="127" spans="1:33" ht="84.9" hidden="1" customHeight="1" x14ac:dyDescent="0.45">
      <c r="A127" s="19">
        <v>111</v>
      </c>
      <c r="B127" s="19" t="s">
        <v>587</v>
      </c>
      <c r="C127" s="19" t="s">
        <v>270</v>
      </c>
      <c r="D127" s="19">
        <v>1959</v>
      </c>
      <c r="E127" s="19">
        <v>5</v>
      </c>
      <c r="F127" s="19">
        <v>5</v>
      </c>
      <c r="G127" s="39">
        <v>6587.7</v>
      </c>
      <c r="H127" s="23">
        <v>6026.7</v>
      </c>
      <c r="I127" s="19" t="s">
        <v>364</v>
      </c>
      <c r="J127" s="19" t="s">
        <v>364</v>
      </c>
      <c r="K127" s="19" t="s">
        <v>365</v>
      </c>
      <c r="L127" s="19" t="s">
        <v>366</v>
      </c>
      <c r="M127" s="19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>
        <v>10961082</v>
      </c>
      <c r="Y127" s="28"/>
      <c r="Z127" s="28"/>
      <c r="AA127" s="28">
        <f t="shared" si="10"/>
        <v>10961082</v>
      </c>
      <c r="AB127" s="28">
        <f t="shared" si="11"/>
        <v>10961082</v>
      </c>
      <c r="AC127" s="28"/>
      <c r="AD127" s="28"/>
      <c r="AE127" s="37"/>
      <c r="AF127" s="19">
        <v>2020</v>
      </c>
      <c r="AG127" s="19">
        <v>2022</v>
      </c>
    </row>
    <row r="128" spans="1:33" ht="84.9" hidden="1" customHeight="1" x14ac:dyDescent="0.45">
      <c r="A128" s="19">
        <v>112</v>
      </c>
      <c r="B128" s="19" t="s">
        <v>587</v>
      </c>
      <c r="C128" s="19" t="s">
        <v>699</v>
      </c>
      <c r="D128" s="19">
        <v>1938</v>
      </c>
      <c r="E128" s="19">
        <v>5</v>
      </c>
      <c r="F128" s="19">
        <v>3</v>
      </c>
      <c r="G128" s="39">
        <v>2507.5</v>
      </c>
      <c r="H128" s="23">
        <v>2225.8000000000002</v>
      </c>
      <c r="I128" s="19" t="s">
        <v>364</v>
      </c>
      <c r="J128" s="19" t="s">
        <v>364</v>
      </c>
      <c r="K128" s="19" t="s">
        <v>423</v>
      </c>
      <c r="L128" s="19" t="s">
        <v>366</v>
      </c>
      <c r="M128" s="19"/>
      <c r="N128" s="28"/>
      <c r="O128" s="28"/>
      <c r="P128" s="28"/>
      <c r="Q128" s="28"/>
      <c r="R128" s="28"/>
      <c r="S128" s="28"/>
      <c r="T128" s="28"/>
      <c r="U128" s="28"/>
      <c r="V128" s="28">
        <v>7737130</v>
      </c>
      <c r="W128" s="28"/>
      <c r="X128" s="28">
        <v>7937017</v>
      </c>
      <c r="Y128" s="28"/>
      <c r="Z128" s="28"/>
      <c r="AA128" s="28">
        <f t="shared" si="10"/>
        <v>15674147</v>
      </c>
      <c r="AB128" s="28">
        <f t="shared" si="11"/>
        <v>15674147</v>
      </c>
      <c r="AC128" s="28"/>
      <c r="AD128" s="28"/>
      <c r="AE128" s="37"/>
      <c r="AF128" s="19">
        <v>2020</v>
      </c>
      <c r="AG128" s="19">
        <v>2022</v>
      </c>
    </row>
    <row r="129" spans="1:33" ht="113.25" hidden="1" customHeight="1" x14ac:dyDescent="0.45">
      <c r="A129" s="19">
        <v>113</v>
      </c>
      <c r="B129" s="19" t="s">
        <v>587</v>
      </c>
      <c r="C129" s="19" t="s">
        <v>700</v>
      </c>
      <c r="D129" s="19">
        <v>1955</v>
      </c>
      <c r="E129" s="19">
        <v>5</v>
      </c>
      <c r="F129" s="19">
        <v>3</v>
      </c>
      <c r="G129" s="39">
        <v>4428.5</v>
      </c>
      <c r="H129" s="23">
        <v>3955.5</v>
      </c>
      <c r="I129" s="19" t="s">
        <v>364</v>
      </c>
      <c r="J129" s="19" t="s">
        <v>364</v>
      </c>
      <c r="K129" s="19" t="s">
        <v>365</v>
      </c>
      <c r="L129" s="19" t="s">
        <v>449</v>
      </c>
      <c r="M129" s="19"/>
      <c r="N129" s="28"/>
      <c r="O129" s="28"/>
      <c r="P129" s="28"/>
      <c r="Q129" s="28"/>
      <c r="R129" s="28"/>
      <c r="S129" s="28"/>
      <c r="T129" s="28"/>
      <c r="U129" s="28"/>
      <c r="V129" s="28">
        <v>12528922.25</v>
      </c>
      <c r="W129" s="28"/>
      <c r="X129" s="28">
        <v>7209008.4500000002</v>
      </c>
      <c r="Y129" s="28"/>
      <c r="Z129" s="28"/>
      <c r="AA129" s="28">
        <f t="shared" si="10"/>
        <v>19737930.699999999</v>
      </c>
      <c r="AB129" s="28">
        <f t="shared" si="11"/>
        <v>19737930.699999999</v>
      </c>
      <c r="AC129" s="28"/>
      <c r="AD129" s="28"/>
      <c r="AE129" s="37"/>
      <c r="AF129" s="19">
        <v>2020</v>
      </c>
      <c r="AG129" s="19">
        <v>2022</v>
      </c>
    </row>
    <row r="130" spans="1:33" ht="84.9" hidden="1" customHeight="1" x14ac:dyDescent="0.45">
      <c r="A130" s="19">
        <v>114</v>
      </c>
      <c r="B130" s="19" t="s">
        <v>587</v>
      </c>
      <c r="C130" s="19" t="s">
        <v>278</v>
      </c>
      <c r="D130" s="19">
        <v>1934</v>
      </c>
      <c r="E130" s="19">
        <v>5</v>
      </c>
      <c r="F130" s="19">
        <v>5</v>
      </c>
      <c r="G130" s="39">
        <v>4540</v>
      </c>
      <c r="H130" s="23">
        <v>4140.2</v>
      </c>
      <c r="I130" s="19" t="s">
        <v>364</v>
      </c>
      <c r="J130" s="19" t="s">
        <v>364</v>
      </c>
      <c r="K130" s="19" t="s">
        <v>365</v>
      </c>
      <c r="L130" s="19" t="s">
        <v>366</v>
      </c>
      <c r="M130" s="19"/>
      <c r="N130" s="28"/>
      <c r="O130" s="28"/>
      <c r="P130" s="28"/>
      <c r="Q130" s="28"/>
      <c r="R130" s="28">
        <v>961324.71</v>
      </c>
      <c r="S130" s="28"/>
      <c r="T130" s="28"/>
      <c r="U130" s="28"/>
      <c r="V130" s="28"/>
      <c r="W130" s="28"/>
      <c r="X130" s="28"/>
      <c r="Y130" s="28"/>
      <c r="Z130" s="28">
        <v>55000</v>
      </c>
      <c r="AA130" s="28">
        <f t="shared" si="10"/>
        <v>1016324.71</v>
      </c>
      <c r="AB130" s="28">
        <f>AA130</f>
        <v>1016324.71</v>
      </c>
      <c r="AC130" s="28"/>
      <c r="AD130" s="28"/>
      <c r="AE130" s="37"/>
      <c r="AF130" s="19">
        <v>2020</v>
      </c>
      <c r="AG130" s="19">
        <v>2021</v>
      </c>
    </row>
    <row r="131" spans="1:33" ht="84.9" hidden="1" customHeight="1" x14ac:dyDescent="0.45">
      <c r="A131" s="19">
        <v>115</v>
      </c>
      <c r="B131" s="19" t="s">
        <v>587</v>
      </c>
      <c r="C131" s="19" t="s">
        <v>701</v>
      </c>
      <c r="D131" s="19">
        <v>1962</v>
      </c>
      <c r="E131" s="19">
        <v>5</v>
      </c>
      <c r="F131" s="19">
        <v>4</v>
      </c>
      <c r="G131" s="39">
        <v>3028.2</v>
      </c>
      <c r="H131" s="23">
        <v>2438.6</v>
      </c>
      <c r="I131" s="19">
        <v>1708.7</v>
      </c>
      <c r="J131" s="19">
        <v>120</v>
      </c>
      <c r="K131" s="19" t="s">
        <v>365</v>
      </c>
      <c r="L131" s="19" t="s">
        <v>366</v>
      </c>
      <c r="M131" s="19"/>
      <c r="N131" s="28"/>
      <c r="O131" s="28"/>
      <c r="P131" s="28"/>
      <c r="Q131" s="28"/>
      <c r="R131" s="28">
        <v>961324.71</v>
      </c>
      <c r="S131" s="28"/>
      <c r="T131" s="28"/>
      <c r="U131" s="28"/>
      <c r="V131" s="28"/>
      <c r="W131" s="28"/>
      <c r="X131" s="28"/>
      <c r="Y131" s="28"/>
      <c r="Z131" s="28">
        <v>55000</v>
      </c>
      <c r="AA131" s="28">
        <f>R131+Z131</f>
        <v>1016324.71</v>
      </c>
      <c r="AB131" s="28">
        <f>AA131</f>
        <v>1016324.71</v>
      </c>
      <c r="AC131" s="28"/>
      <c r="AD131" s="28"/>
      <c r="AE131" s="37"/>
      <c r="AF131" s="19">
        <v>2020</v>
      </c>
      <c r="AG131" s="19">
        <v>2021</v>
      </c>
    </row>
    <row r="132" spans="1:33" ht="84.9" hidden="1" customHeight="1" x14ac:dyDescent="0.45">
      <c r="A132" s="19">
        <v>116</v>
      </c>
      <c r="B132" s="19" t="s">
        <v>587</v>
      </c>
      <c r="C132" s="19" t="s">
        <v>702</v>
      </c>
      <c r="D132" s="19">
        <v>1974</v>
      </c>
      <c r="E132" s="19">
        <v>9</v>
      </c>
      <c r="F132" s="19">
        <v>2</v>
      </c>
      <c r="G132" s="39">
        <v>4465.3</v>
      </c>
      <c r="H132" s="23">
        <v>3816.3</v>
      </c>
      <c r="I132" s="19" t="s">
        <v>364</v>
      </c>
      <c r="J132" s="19" t="s">
        <v>364</v>
      </c>
      <c r="K132" s="19" t="s">
        <v>365</v>
      </c>
      <c r="L132" s="19" t="s">
        <v>366</v>
      </c>
      <c r="M132" s="19"/>
      <c r="N132" s="28"/>
      <c r="O132" s="28"/>
      <c r="P132" s="28"/>
      <c r="Q132" s="28"/>
      <c r="R132" s="28"/>
      <c r="S132" s="28"/>
      <c r="T132" s="28"/>
      <c r="U132" s="28">
        <v>4800000</v>
      </c>
      <c r="V132" s="28"/>
      <c r="W132" s="28"/>
      <c r="X132" s="28"/>
      <c r="Y132" s="28"/>
      <c r="Z132" s="28"/>
      <c r="AA132" s="28">
        <f t="shared" ref="AA132:AA137" si="12">SUM(N132:Z132)</f>
        <v>4800000</v>
      </c>
      <c r="AB132" s="28">
        <v>960000</v>
      </c>
      <c r="AC132" s="28"/>
      <c r="AD132" s="28">
        <v>3840000</v>
      </c>
      <c r="AE132" s="37"/>
      <c r="AF132" s="19">
        <v>2020</v>
      </c>
      <c r="AG132" s="19">
        <v>2022</v>
      </c>
    </row>
    <row r="133" spans="1:33" ht="84.9" hidden="1" customHeight="1" x14ac:dyDescent="0.45">
      <c r="A133" s="19">
        <v>117</v>
      </c>
      <c r="B133" s="19" t="s">
        <v>587</v>
      </c>
      <c r="C133" s="19" t="s">
        <v>703</v>
      </c>
      <c r="D133" s="19">
        <v>1980</v>
      </c>
      <c r="E133" s="19">
        <v>9</v>
      </c>
      <c r="F133" s="19">
        <v>3</v>
      </c>
      <c r="G133" s="39">
        <v>5961.7</v>
      </c>
      <c r="H133" s="23">
        <v>5142.2</v>
      </c>
      <c r="I133" s="19" t="s">
        <v>364</v>
      </c>
      <c r="J133" s="19" t="s">
        <v>364</v>
      </c>
      <c r="K133" s="19" t="s">
        <v>365</v>
      </c>
      <c r="L133" s="19" t="s">
        <v>366</v>
      </c>
      <c r="M133" s="19"/>
      <c r="N133" s="28"/>
      <c r="O133" s="28"/>
      <c r="P133" s="28"/>
      <c r="Q133" s="28"/>
      <c r="R133" s="28"/>
      <c r="S133" s="28"/>
      <c r="T133" s="28"/>
      <c r="U133" s="28">
        <v>7200000</v>
      </c>
      <c r="V133" s="28"/>
      <c r="W133" s="28"/>
      <c r="X133" s="28"/>
      <c r="Y133" s="28"/>
      <c r="Z133" s="28"/>
      <c r="AA133" s="28">
        <f t="shared" si="12"/>
        <v>7200000</v>
      </c>
      <c r="AB133" s="28">
        <v>1440000</v>
      </c>
      <c r="AC133" s="28"/>
      <c r="AD133" s="28">
        <v>5760000</v>
      </c>
      <c r="AE133" s="37"/>
      <c r="AF133" s="19">
        <v>2020</v>
      </c>
      <c r="AG133" s="19">
        <v>2022</v>
      </c>
    </row>
    <row r="134" spans="1:33" ht="84.9" hidden="1" customHeight="1" x14ac:dyDescent="0.45">
      <c r="A134" s="19">
        <v>118</v>
      </c>
      <c r="B134" s="19" t="s">
        <v>587</v>
      </c>
      <c r="C134" s="19" t="s">
        <v>704</v>
      </c>
      <c r="D134" s="19">
        <v>1980</v>
      </c>
      <c r="E134" s="19">
        <v>9</v>
      </c>
      <c r="F134" s="19">
        <v>2</v>
      </c>
      <c r="G134" s="39">
        <v>3961.5</v>
      </c>
      <c r="H134" s="23">
        <v>3601.8</v>
      </c>
      <c r="I134" s="19" t="s">
        <v>364</v>
      </c>
      <c r="J134" s="19" t="s">
        <v>364</v>
      </c>
      <c r="K134" s="19" t="s">
        <v>365</v>
      </c>
      <c r="L134" s="19" t="s">
        <v>366</v>
      </c>
      <c r="M134" s="19"/>
      <c r="N134" s="28"/>
      <c r="O134" s="28"/>
      <c r="P134" s="28"/>
      <c r="Q134" s="28"/>
      <c r="R134" s="28"/>
      <c r="S134" s="28"/>
      <c r="T134" s="28"/>
      <c r="U134" s="28">
        <v>4800000</v>
      </c>
      <c r="V134" s="28"/>
      <c r="W134" s="28"/>
      <c r="X134" s="28"/>
      <c r="Y134" s="28"/>
      <c r="Z134" s="28"/>
      <c r="AA134" s="28">
        <f t="shared" si="12"/>
        <v>4800000</v>
      </c>
      <c r="AB134" s="28">
        <v>960000</v>
      </c>
      <c r="AC134" s="28"/>
      <c r="AD134" s="28">
        <v>3840000</v>
      </c>
      <c r="AE134" s="37"/>
      <c r="AF134" s="19">
        <v>2020</v>
      </c>
      <c r="AG134" s="19">
        <v>2022</v>
      </c>
    </row>
    <row r="135" spans="1:33" ht="84.9" hidden="1" customHeight="1" x14ac:dyDescent="0.45">
      <c r="A135" s="19">
        <v>119</v>
      </c>
      <c r="B135" s="19" t="s">
        <v>587</v>
      </c>
      <c r="C135" s="19" t="s">
        <v>705</v>
      </c>
      <c r="D135" s="19">
        <v>1980</v>
      </c>
      <c r="E135" s="19">
        <v>9</v>
      </c>
      <c r="F135" s="19">
        <v>5</v>
      </c>
      <c r="G135" s="39">
        <v>9895.2000000000007</v>
      </c>
      <c r="H135" s="23">
        <v>8955.2999999999993</v>
      </c>
      <c r="I135" s="19" t="s">
        <v>364</v>
      </c>
      <c r="J135" s="19" t="s">
        <v>364</v>
      </c>
      <c r="K135" s="19" t="s">
        <v>365</v>
      </c>
      <c r="L135" s="19" t="s">
        <v>366</v>
      </c>
      <c r="M135" s="19"/>
      <c r="N135" s="28"/>
      <c r="O135" s="28"/>
      <c r="P135" s="28"/>
      <c r="Q135" s="28"/>
      <c r="R135" s="28"/>
      <c r="S135" s="28"/>
      <c r="T135" s="28"/>
      <c r="U135" s="28">
        <v>12000000</v>
      </c>
      <c r="V135" s="28"/>
      <c r="W135" s="28"/>
      <c r="X135" s="28"/>
      <c r="Y135" s="28"/>
      <c r="Z135" s="28"/>
      <c r="AA135" s="28">
        <f t="shared" si="12"/>
        <v>12000000</v>
      </c>
      <c r="AB135" s="28">
        <v>2400000</v>
      </c>
      <c r="AC135" s="28"/>
      <c r="AD135" s="28">
        <v>9600000</v>
      </c>
      <c r="AE135" s="37"/>
      <c r="AF135" s="19">
        <v>2020</v>
      </c>
      <c r="AG135" s="19">
        <v>2022</v>
      </c>
    </row>
    <row r="136" spans="1:33" ht="84.9" hidden="1" customHeight="1" x14ac:dyDescent="0.45">
      <c r="A136" s="19">
        <v>120</v>
      </c>
      <c r="B136" s="19" t="s">
        <v>587</v>
      </c>
      <c r="C136" s="19" t="s">
        <v>706</v>
      </c>
      <c r="D136" s="19">
        <v>1953</v>
      </c>
      <c r="E136" s="19">
        <v>4</v>
      </c>
      <c r="F136" s="19">
        <v>3</v>
      </c>
      <c r="G136" s="23">
        <v>1921.5</v>
      </c>
      <c r="H136" s="23">
        <v>1653.6</v>
      </c>
      <c r="I136" s="19" t="s">
        <v>364</v>
      </c>
      <c r="J136" s="19" t="s">
        <v>364</v>
      </c>
      <c r="K136" s="19" t="s">
        <v>460</v>
      </c>
      <c r="L136" s="19" t="s">
        <v>366</v>
      </c>
      <c r="M136" s="19"/>
      <c r="N136" s="28"/>
      <c r="O136" s="28"/>
      <c r="P136" s="28"/>
      <c r="Q136" s="28"/>
      <c r="R136" s="28"/>
      <c r="S136" s="28"/>
      <c r="T136" s="28"/>
      <c r="U136" s="28"/>
      <c r="V136" s="28">
        <v>6839983.0330999997</v>
      </c>
      <c r="W136" s="28"/>
      <c r="X136" s="28"/>
      <c r="Y136" s="28"/>
      <c r="Z136" s="28">
        <v>136799.66</v>
      </c>
      <c r="AA136" s="28">
        <f t="shared" si="12"/>
        <v>6976782.6930999998</v>
      </c>
      <c r="AB136" s="28"/>
      <c r="AC136" s="28"/>
      <c r="AD136" s="28">
        <v>6976782.6900000004</v>
      </c>
      <c r="AE136" s="37"/>
      <c r="AF136" s="19">
        <v>2020</v>
      </c>
      <c r="AG136" s="19">
        <v>2022</v>
      </c>
    </row>
    <row r="137" spans="1:33" ht="84.9" hidden="1" customHeight="1" x14ac:dyDescent="0.45">
      <c r="A137" s="19">
        <v>121</v>
      </c>
      <c r="B137" s="19" t="s">
        <v>587</v>
      </c>
      <c r="C137" s="19" t="s">
        <v>707</v>
      </c>
      <c r="D137" s="19">
        <v>1950</v>
      </c>
      <c r="E137" s="19">
        <v>5</v>
      </c>
      <c r="F137" s="19">
        <v>3</v>
      </c>
      <c r="G137" s="23">
        <v>3132.3</v>
      </c>
      <c r="H137" s="23">
        <v>2096</v>
      </c>
      <c r="I137" s="19">
        <v>65</v>
      </c>
      <c r="J137" s="19">
        <v>66</v>
      </c>
      <c r="K137" s="19" t="s">
        <v>365</v>
      </c>
      <c r="L137" s="19" t="s">
        <v>366</v>
      </c>
      <c r="M137" s="19"/>
      <c r="N137" s="28">
        <v>708075.85</v>
      </c>
      <c r="O137" s="28">
        <v>4755487.9000000004</v>
      </c>
      <c r="P137" s="28">
        <v>915820.37</v>
      </c>
      <c r="Q137" s="28">
        <v>973665.46</v>
      </c>
      <c r="R137" s="28"/>
      <c r="S137" s="28">
        <v>995067.52</v>
      </c>
      <c r="T137" s="28"/>
      <c r="U137" s="28"/>
      <c r="V137" s="28">
        <v>5866671.0899999999</v>
      </c>
      <c r="W137" s="28"/>
      <c r="X137" s="28"/>
      <c r="Y137" s="28"/>
      <c r="Z137" s="28">
        <v>580639.19999999995</v>
      </c>
      <c r="AA137" s="28">
        <f t="shared" si="12"/>
        <v>14795427.389999999</v>
      </c>
      <c r="AB137" s="28"/>
      <c r="AC137" s="28"/>
      <c r="AD137" s="28">
        <f>AA137</f>
        <v>14795427.389999999</v>
      </c>
      <c r="AE137" s="37"/>
      <c r="AF137" s="19">
        <v>2020</v>
      </c>
      <c r="AG137" s="19">
        <v>2022</v>
      </c>
    </row>
    <row r="138" spans="1:33" ht="84.9" hidden="1" customHeight="1" x14ac:dyDescent="0.45">
      <c r="A138" s="19">
        <v>122</v>
      </c>
      <c r="B138" s="19" t="s">
        <v>587</v>
      </c>
      <c r="C138" s="19" t="s">
        <v>708</v>
      </c>
      <c r="D138" s="19">
        <v>1978</v>
      </c>
      <c r="E138" s="19">
        <v>5</v>
      </c>
      <c r="F138" s="19">
        <v>2</v>
      </c>
      <c r="G138" s="23">
        <v>4129.5</v>
      </c>
      <c r="H138" s="23">
        <v>4129.5</v>
      </c>
      <c r="I138" s="19">
        <v>3940.8</v>
      </c>
      <c r="J138" s="19">
        <v>175</v>
      </c>
      <c r="K138" s="19" t="s">
        <v>365</v>
      </c>
      <c r="L138" s="19" t="s">
        <v>366</v>
      </c>
      <c r="M138" s="19"/>
      <c r="N138" s="28"/>
      <c r="O138" s="28"/>
      <c r="P138" s="28"/>
      <c r="Q138" s="28"/>
      <c r="R138" s="28">
        <v>961324.71</v>
      </c>
      <c r="S138" s="28"/>
      <c r="T138" s="28"/>
      <c r="U138" s="28"/>
      <c r="V138" s="28"/>
      <c r="W138" s="28"/>
      <c r="X138" s="28"/>
      <c r="Y138" s="28"/>
      <c r="Z138" s="28">
        <v>55000</v>
      </c>
      <c r="AA138" s="28">
        <f t="shared" ref="AA138:AA142" si="13">R138+Z138</f>
        <v>1016324.71</v>
      </c>
      <c r="AB138" s="28">
        <f t="shared" ref="AB138:AB142" si="14">AA138</f>
        <v>1016324.71</v>
      </c>
      <c r="AC138" s="28"/>
      <c r="AD138" s="28"/>
      <c r="AE138" s="37"/>
      <c r="AF138" s="19">
        <v>2020</v>
      </c>
      <c r="AG138" s="19">
        <v>2021</v>
      </c>
    </row>
    <row r="139" spans="1:33" ht="84.9" hidden="1" customHeight="1" x14ac:dyDescent="0.45">
      <c r="A139" s="19">
        <v>123</v>
      </c>
      <c r="B139" s="19" t="s">
        <v>587</v>
      </c>
      <c r="C139" s="19" t="s">
        <v>709</v>
      </c>
      <c r="D139" s="19">
        <v>1967</v>
      </c>
      <c r="E139" s="19">
        <v>5</v>
      </c>
      <c r="F139" s="19">
        <v>4</v>
      </c>
      <c r="G139" s="23">
        <v>3705.2</v>
      </c>
      <c r="H139" s="23">
        <v>3387.4</v>
      </c>
      <c r="I139" s="19">
        <v>2264</v>
      </c>
      <c r="J139" s="19">
        <v>140</v>
      </c>
      <c r="K139" s="19" t="s">
        <v>365</v>
      </c>
      <c r="L139" s="19" t="s">
        <v>366</v>
      </c>
      <c r="M139" s="19"/>
      <c r="N139" s="28"/>
      <c r="O139" s="28"/>
      <c r="P139" s="28"/>
      <c r="Q139" s="28"/>
      <c r="R139" s="28">
        <v>961324.71</v>
      </c>
      <c r="S139" s="28"/>
      <c r="T139" s="28"/>
      <c r="U139" s="28"/>
      <c r="V139" s="28"/>
      <c r="W139" s="28"/>
      <c r="X139" s="28"/>
      <c r="Y139" s="28"/>
      <c r="Z139" s="28">
        <v>55000</v>
      </c>
      <c r="AA139" s="28">
        <f t="shared" si="13"/>
        <v>1016324.71</v>
      </c>
      <c r="AB139" s="28">
        <f t="shared" si="14"/>
        <v>1016324.71</v>
      </c>
      <c r="AC139" s="28"/>
      <c r="AD139" s="28"/>
      <c r="AE139" s="37"/>
      <c r="AF139" s="19">
        <v>2020</v>
      </c>
      <c r="AG139" s="19">
        <v>2021</v>
      </c>
    </row>
    <row r="140" spans="1:33" ht="84.9" hidden="1" customHeight="1" x14ac:dyDescent="0.45">
      <c r="A140" s="19">
        <v>124</v>
      </c>
      <c r="B140" s="19" t="s">
        <v>587</v>
      </c>
      <c r="C140" s="19" t="s">
        <v>710</v>
      </c>
      <c r="D140" s="19">
        <v>1970</v>
      </c>
      <c r="E140" s="19">
        <v>5</v>
      </c>
      <c r="F140" s="19">
        <v>4</v>
      </c>
      <c r="G140" s="23">
        <v>3456.9</v>
      </c>
      <c r="H140" s="23">
        <v>3412.3</v>
      </c>
      <c r="I140" s="19">
        <v>2297</v>
      </c>
      <c r="J140" s="19">
        <v>141</v>
      </c>
      <c r="K140" s="19" t="s">
        <v>365</v>
      </c>
      <c r="L140" s="19" t="s">
        <v>366</v>
      </c>
      <c r="M140" s="19"/>
      <c r="N140" s="28"/>
      <c r="O140" s="28"/>
      <c r="P140" s="28"/>
      <c r="Q140" s="28"/>
      <c r="R140" s="28">
        <v>961324.71</v>
      </c>
      <c r="S140" s="28"/>
      <c r="T140" s="28"/>
      <c r="U140" s="28"/>
      <c r="V140" s="28"/>
      <c r="W140" s="28"/>
      <c r="X140" s="28"/>
      <c r="Y140" s="28"/>
      <c r="Z140" s="28">
        <v>55000</v>
      </c>
      <c r="AA140" s="28">
        <f t="shared" si="13"/>
        <v>1016324.71</v>
      </c>
      <c r="AB140" s="28">
        <f t="shared" si="14"/>
        <v>1016324.71</v>
      </c>
      <c r="AC140" s="28"/>
      <c r="AD140" s="28"/>
      <c r="AE140" s="37"/>
      <c r="AF140" s="19">
        <v>2020</v>
      </c>
      <c r="AG140" s="19">
        <v>2021</v>
      </c>
    </row>
    <row r="141" spans="1:33" ht="84.9" hidden="1" customHeight="1" x14ac:dyDescent="0.45">
      <c r="A141" s="19">
        <v>125</v>
      </c>
      <c r="B141" s="19" t="s">
        <v>587</v>
      </c>
      <c r="C141" s="19" t="s">
        <v>711</v>
      </c>
      <c r="D141" s="19">
        <v>1970</v>
      </c>
      <c r="E141" s="19">
        <v>5</v>
      </c>
      <c r="F141" s="19">
        <v>2</v>
      </c>
      <c r="G141" s="23">
        <v>3452.1</v>
      </c>
      <c r="H141" s="23">
        <v>2400.1</v>
      </c>
      <c r="I141" s="19">
        <v>1714</v>
      </c>
      <c r="J141" s="19">
        <v>133</v>
      </c>
      <c r="K141" s="19" t="s">
        <v>365</v>
      </c>
      <c r="L141" s="19" t="s">
        <v>366</v>
      </c>
      <c r="M141" s="19"/>
      <c r="N141" s="28"/>
      <c r="O141" s="28"/>
      <c r="P141" s="28"/>
      <c r="Q141" s="28"/>
      <c r="R141" s="28">
        <v>961324.71</v>
      </c>
      <c r="S141" s="28"/>
      <c r="T141" s="28"/>
      <c r="U141" s="28"/>
      <c r="V141" s="28"/>
      <c r="W141" s="28"/>
      <c r="X141" s="28"/>
      <c r="Y141" s="28"/>
      <c r="Z141" s="28">
        <v>55000</v>
      </c>
      <c r="AA141" s="28">
        <f t="shared" si="13"/>
        <v>1016324.71</v>
      </c>
      <c r="AB141" s="28">
        <f t="shared" si="14"/>
        <v>1016324.71</v>
      </c>
      <c r="AC141" s="28"/>
      <c r="AD141" s="28"/>
      <c r="AE141" s="37"/>
      <c r="AF141" s="19">
        <v>2020</v>
      </c>
      <c r="AG141" s="19">
        <v>2021</v>
      </c>
    </row>
    <row r="142" spans="1:33" ht="84.9" hidden="1" customHeight="1" x14ac:dyDescent="0.45">
      <c r="A142" s="19">
        <v>126</v>
      </c>
      <c r="B142" s="19" t="s">
        <v>587</v>
      </c>
      <c r="C142" s="19" t="s">
        <v>712</v>
      </c>
      <c r="D142" s="19">
        <v>1953</v>
      </c>
      <c r="E142" s="19">
        <v>3</v>
      </c>
      <c r="F142" s="19">
        <v>3</v>
      </c>
      <c r="G142" s="23">
        <v>2507.6999999999998</v>
      </c>
      <c r="H142" s="23">
        <v>2246.1999999999998</v>
      </c>
      <c r="I142" s="19">
        <v>1641.1</v>
      </c>
      <c r="J142" s="19">
        <v>52</v>
      </c>
      <c r="K142" s="19" t="s">
        <v>365</v>
      </c>
      <c r="L142" s="19" t="s">
        <v>366</v>
      </c>
      <c r="M142" s="19"/>
      <c r="N142" s="28"/>
      <c r="O142" s="28"/>
      <c r="P142" s="28"/>
      <c r="Q142" s="28"/>
      <c r="R142" s="28">
        <v>961324.71</v>
      </c>
      <c r="S142" s="28"/>
      <c r="T142" s="28"/>
      <c r="U142" s="28"/>
      <c r="V142" s="28"/>
      <c r="W142" s="28"/>
      <c r="X142" s="28"/>
      <c r="Y142" s="28"/>
      <c r="Z142" s="28">
        <v>55000</v>
      </c>
      <c r="AA142" s="28">
        <f t="shared" si="13"/>
        <v>1016324.71</v>
      </c>
      <c r="AB142" s="28">
        <f t="shared" si="14"/>
        <v>1016324.71</v>
      </c>
      <c r="AC142" s="28"/>
      <c r="AD142" s="28"/>
      <c r="AE142" s="37"/>
      <c r="AF142" s="19">
        <v>2020</v>
      </c>
      <c r="AG142" s="19">
        <v>2021</v>
      </c>
    </row>
    <row r="143" spans="1:33" ht="84.9" hidden="1" customHeight="1" x14ac:dyDescent="0.45">
      <c r="A143" s="19">
        <v>127</v>
      </c>
      <c r="B143" s="19" t="s">
        <v>587</v>
      </c>
      <c r="C143" s="19" t="s">
        <v>713</v>
      </c>
      <c r="D143" s="19">
        <v>1960</v>
      </c>
      <c r="E143" s="19">
        <v>5</v>
      </c>
      <c r="F143" s="19">
        <v>2</v>
      </c>
      <c r="G143" s="23">
        <v>1691.2</v>
      </c>
      <c r="H143" s="23">
        <v>1392.7</v>
      </c>
      <c r="I143" s="19" t="s">
        <v>364</v>
      </c>
      <c r="J143" s="19" t="s">
        <v>364</v>
      </c>
      <c r="K143" s="19" t="s">
        <v>365</v>
      </c>
      <c r="L143" s="19" t="s">
        <v>366</v>
      </c>
      <c r="M143" s="19"/>
      <c r="N143" s="28"/>
      <c r="O143" s="28"/>
      <c r="P143" s="28"/>
      <c r="Q143" s="28"/>
      <c r="R143" s="28"/>
      <c r="S143" s="28"/>
      <c r="T143" s="28"/>
      <c r="U143" s="28"/>
      <c r="V143" s="28"/>
      <c r="W143" s="28">
        <v>419341.62182499998</v>
      </c>
      <c r="X143" s="28">
        <v>3814983.9054950001</v>
      </c>
      <c r="Y143" s="28">
        <v>1148570.5530600001</v>
      </c>
      <c r="Z143" s="28">
        <v>107657.92</v>
      </c>
      <c r="AA143" s="28">
        <f t="shared" ref="AA143:AA149" si="15">SUM(N143:Z143)</f>
        <v>5490554.0003800001</v>
      </c>
      <c r="AB143" s="28"/>
      <c r="AC143" s="28"/>
      <c r="AD143" s="28">
        <f>AA143</f>
        <v>5490554.0003800001</v>
      </c>
      <c r="AE143" s="37"/>
      <c r="AF143" s="19">
        <v>2020</v>
      </c>
      <c r="AG143" s="19">
        <v>2022</v>
      </c>
    </row>
    <row r="144" spans="1:33" ht="84.9" hidden="1" customHeight="1" x14ac:dyDescent="0.45">
      <c r="A144" s="19">
        <v>128</v>
      </c>
      <c r="B144" s="19" t="s">
        <v>587</v>
      </c>
      <c r="C144" s="19" t="s">
        <v>714</v>
      </c>
      <c r="D144" s="19">
        <v>1982</v>
      </c>
      <c r="E144" s="19">
        <v>9</v>
      </c>
      <c r="F144" s="19">
        <v>1</v>
      </c>
      <c r="G144" s="23">
        <v>2695.8</v>
      </c>
      <c r="H144" s="23">
        <v>1966.9</v>
      </c>
      <c r="I144" s="19" t="s">
        <v>715</v>
      </c>
      <c r="J144" s="19">
        <v>68</v>
      </c>
      <c r="K144" s="19" t="s">
        <v>365</v>
      </c>
      <c r="L144" s="19" t="s">
        <v>366</v>
      </c>
      <c r="M144" s="19"/>
      <c r="N144" s="28"/>
      <c r="O144" s="28"/>
      <c r="P144" s="28"/>
      <c r="Q144" s="28"/>
      <c r="R144" s="28">
        <v>961324.71</v>
      </c>
      <c r="S144" s="28"/>
      <c r="T144" s="28"/>
      <c r="U144" s="28"/>
      <c r="V144" s="28"/>
      <c r="W144" s="28"/>
      <c r="X144" s="28"/>
      <c r="Y144" s="28"/>
      <c r="Z144" s="28">
        <v>55000</v>
      </c>
      <c r="AA144" s="28">
        <f t="shared" ref="AA144:AA147" si="16">R144+Z144</f>
        <v>1016324.71</v>
      </c>
      <c r="AB144" s="28">
        <f t="shared" ref="AB144:AB147" si="17">AA144</f>
        <v>1016324.71</v>
      </c>
      <c r="AC144" s="28"/>
      <c r="AD144" s="28"/>
      <c r="AE144" s="37"/>
      <c r="AF144" s="19">
        <v>2020</v>
      </c>
      <c r="AG144" s="19">
        <v>2021</v>
      </c>
    </row>
    <row r="145" spans="1:33" ht="84.9" hidden="1" customHeight="1" x14ac:dyDescent="0.45">
      <c r="A145" s="19">
        <v>129</v>
      </c>
      <c r="B145" s="19" t="s">
        <v>587</v>
      </c>
      <c r="C145" s="19" t="s">
        <v>716</v>
      </c>
      <c r="D145" s="19">
        <v>1981</v>
      </c>
      <c r="E145" s="19">
        <v>9</v>
      </c>
      <c r="F145" s="19">
        <v>1</v>
      </c>
      <c r="G145" s="23">
        <v>2753.1</v>
      </c>
      <c r="H145" s="23">
        <v>1952.8</v>
      </c>
      <c r="I145" s="19" t="s">
        <v>364</v>
      </c>
      <c r="J145" s="19" t="s">
        <v>364</v>
      </c>
      <c r="K145" s="19" t="s">
        <v>365</v>
      </c>
      <c r="L145" s="19" t="s">
        <v>366</v>
      </c>
      <c r="M145" s="19"/>
      <c r="N145" s="28"/>
      <c r="O145" s="28"/>
      <c r="P145" s="28"/>
      <c r="Q145" s="28"/>
      <c r="R145" s="28">
        <v>961324.71</v>
      </c>
      <c r="S145" s="28"/>
      <c r="T145" s="28"/>
      <c r="U145" s="28">
        <v>2784151.65</v>
      </c>
      <c r="V145" s="28"/>
      <c r="W145" s="28"/>
      <c r="X145" s="28"/>
      <c r="Y145" s="28"/>
      <c r="Z145" s="28">
        <v>126388.5</v>
      </c>
      <c r="AA145" s="28">
        <f t="shared" si="15"/>
        <v>3871864.86</v>
      </c>
      <c r="AB145" s="28">
        <v>1016324.71</v>
      </c>
      <c r="AC145" s="28"/>
      <c r="AD145" s="28">
        <v>2855540.15</v>
      </c>
      <c r="AE145" s="37"/>
      <c r="AF145" s="19">
        <v>2020</v>
      </c>
      <c r="AG145" s="19">
        <v>2021</v>
      </c>
    </row>
    <row r="146" spans="1:33" ht="84.9" customHeight="1" x14ac:dyDescent="0.45">
      <c r="A146" s="19">
        <v>130</v>
      </c>
      <c r="B146" s="19" t="s">
        <v>587</v>
      </c>
      <c r="C146" s="19" t="s">
        <v>717</v>
      </c>
      <c r="D146" s="19">
        <v>1969</v>
      </c>
      <c r="E146" s="19">
        <v>5</v>
      </c>
      <c r="F146" s="19">
        <v>8</v>
      </c>
      <c r="G146" s="23">
        <v>7454.2</v>
      </c>
      <c r="H146" s="23">
        <v>5573.2</v>
      </c>
      <c r="I146" s="19">
        <v>4180.1000000000004</v>
      </c>
      <c r="J146" s="19">
        <v>216</v>
      </c>
      <c r="K146" s="19" t="s">
        <v>608</v>
      </c>
      <c r="L146" s="19" t="s">
        <v>366</v>
      </c>
      <c r="M146" s="19"/>
      <c r="N146" s="28"/>
      <c r="O146" s="28"/>
      <c r="P146" s="28"/>
      <c r="Q146" s="28"/>
      <c r="R146" s="28">
        <v>961324.71</v>
      </c>
      <c r="S146" s="28"/>
      <c r="T146" s="28"/>
      <c r="U146" s="28"/>
      <c r="V146" s="28"/>
      <c r="W146" s="28"/>
      <c r="X146" s="28"/>
      <c r="Y146" s="28"/>
      <c r="Z146" s="28">
        <v>55000</v>
      </c>
      <c r="AA146" s="28">
        <f t="shared" si="16"/>
        <v>1016324.71</v>
      </c>
      <c r="AB146" s="28">
        <f t="shared" si="17"/>
        <v>1016324.71</v>
      </c>
      <c r="AC146" s="28"/>
      <c r="AD146" s="28"/>
      <c r="AE146" s="37"/>
      <c r="AF146" s="19">
        <v>2020</v>
      </c>
      <c r="AG146" s="19">
        <v>2021</v>
      </c>
    </row>
    <row r="147" spans="1:33" ht="84.9" customHeight="1" x14ac:dyDescent="0.45">
      <c r="A147" s="19">
        <v>131</v>
      </c>
      <c r="B147" s="19" t="s">
        <v>587</v>
      </c>
      <c r="C147" s="19" t="s">
        <v>718</v>
      </c>
      <c r="D147" s="19">
        <v>1978</v>
      </c>
      <c r="E147" s="19">
        <v>9</v>
      </c>
      <c r="F147" s="19">
        <v>2</v>
      </c>
      <c r="G147" s="23">
        <v>3904.3</v>
      </c>
      <c r="H147" s="23">
        <v>3904.3</v>
      </c>
      <c r="I147" s="19">
        <v>2658.2</v>
      </c>
      <c r="J147" s="19">
        <v>159</v>
      </c>
      <c r="K147" s="19" t="s">
        <v>365</v>
      </c>
      <c r="L147" s="19" t="s">
        <v>366</v>
      </c>
      <c r="M147" s="19"/>
      <c r="N147" s="28"/>
      <c r="O147" s="28"/>
      <c r="P147" s="28"/>
      <c r="Q147" s="28"/>
      <c r="R147" s="28">
        <v>961324.71</v>
      </c>
      <c r="S147" s="28"/>
      <c r="T147" s="28"/>
      <c r="U147" s="28"/>
      <c r="V147" s="28"/>
      <c r="W147" s="28"/>
      <c r="X147" s="28"/>
      <c r="Y147" s="28"/>
      <c r="Z147" s="28">
        <v>55000</v>
      </c>
      <c r="AA147" s="28">
        <f t="shared" si="16"/>
        <v>1016324.71</v>
      </c>
      <c r="AB147" s="28">
        <f t="shared" si="17"/>
        <v>1016324.71</v>
      </c>
      <c r="AC147" s="28"/>
      <c r="AD147" s="28"/>
      <c r="AE147" s="37"/>
      <c r="AF147" s="19">
        <v>2020</v>
      </c>
      <c r="AG147" s="19">
        <v>2021</v>
      </c>
    </row>
    <row r="148" spans="1:33" ht="84.9" hidden="1" customHeight="1" x14ac:dyDescent="0.45">
      <c r="A148" s="19">
        <v>132</v>
      </c>
      <c r="B148" s="19" t="s">
        <v>587</v>
      </c>
      <c r="C148" s="19" t="s">
        <v>719</v>
      </c>
      <c r="D148" s="19">
        <v>1963</v>
      </c>
      <c r="E148" s="19">
        <v>5</v>
      </c>
      <c r="F148" s="19">
        <v>5</v>
      </c>
      <c r="G148" s="23">
        <v>5042.3999999999996</v>
      </c>
      <c r="H148" s="23">
        <v>4589</v>
      </c>
      <c r="I148" s="19" t="s">
        <v>364</v>
      </c>
      <c r="J148" s="19" t="s">
        <v>364</v>
      </c>
      <c r="K148" s="19" t="s">
        <v>365</v>
      </c>
      <c r="L148" s="19" t="s">
        <v>366</v>
      </c>
      <c r="M148" s="19"/>
      <c r="N148" s="28"/>
      <c r="O148" s="28"/>
      <c r="P148" s="28"/>
      <c r="Q148" s="28"/>
      <c r="R148" s="28"/>
      <c r="S148" s="28"/>
      <c r="T148" s="28"/>
      <c r="U148" s="28"/>
      <c r="V148" s="28">
        <v>12689539.470000001</v>
      </c>
      <c r="W148" s="28"/>
      <c r="X148" s="28" t="s">
        <v>720</v>
      </c>
      <c r="Y148" s="28"/>
      <c r="Z148" s="28">
        <v>459042.61</v>
      </c>
      <c r="AA148" s="28">
        <f t="shared" si="15"/>
        <v>13148582.08</v>
      </c>
      <c r="AB148" s="28">
        <f>SUM(O148:Z148)</f>
        <v>13148582.08</v>
      </c>
      <c r="AC148" s="28"/>
      <c r="AD148" s="28"/>
      <c r="AE148" s="37"/>
      <c r="AF148" s="19">
        <v>2020</v>
      </c>
      <c r="AG148" s="19">
        <v>2022</v>
      </c>
    </row>
    <row r="149" spans="1:33" ht="84.9" hidden="1" customHeight="1" x14ac:dyDescent="0.45">
      <c r="A149" s="19">
        <v>133</v>
      </c>
      <c r="B149" s="19" t="s">
        <v>587</v>
      </c>
      <c r="C149" s="19" t="s">
        <v>721</v>
      </c>
      <c r="D149" s="19">
        <v>1981</v>
      </c>
      <c r="E149" s="19">
        <v>5</v>
      </c>
      <c r="F149" s="19">
        <v>6</v>
      </c>
      <c r="G149" s="23">
        <v>4729.5</v>
      </c>
      <c r="H149" s="23">
        <v>4469.2</v>
      </c>
      <c r="I149" s="43">
        <v>3019</v>
      </c>
      <c r="J149" s="19" t="s">
        <v>364</v>
      </c>
      <c r="K149" s="19" t="s">
        <v>365</v>
      </c>
      <c r="L149" s="19" t="s">
        <v>366</v>
      </c>
      <c r="M149" s="19"/>
      <c r="N149" s="28"/>
      <c r="O149" s="28"/>
      <c r="P149" s="28">
        <v>1017604</v>
      </c>
      <c r="Q149" s="28">
        <v>1793581</v>
      </c>
      <c r="R149" s="28"/>
      <c r="S149" s="28"/>
      <c r="T149" s="28"/>
      <c r="U149" s="28"/>
      <c r="V149" s="28"/>
      <c r="W149" s="28"/>
      <c r="X149" s="28"/>
      <c r="Y149" s="28"/>
      <c r="Z149" s="28"/>
      <c r="AA149" s="28">
        <f t="shared" si="15"/>
        <v>2811185</v>
      </c>
      <c r="AB149" s="28"/>
      <c r="AC149" s="28"/>
      <c r="AD149" s="28">
        <f>AA149</f>
        <v>2811185</v>
      </c>
      <c r="AE149" s="37"/>
      <c r="AF149" s="19">
        <v>2020</v>
      </c>
      <c r="AG149" s="19">
        <v>2022</v>
      </c>
    </row>
    <row r="150" spans="1:33" ht="84.9" hidden="1" customHeight="1" x14ac:dyDescent="0.45">
      <c r="A150" s="19">
        <v>134</v>
      </c>
      <c r="B150" s="19" t="s">
        <v>587</v>
      </c>
      <c r="C150" s="19" t="s">
        <v>722</v>
      </c>
      <c r="D150" s="19">
        <v>1982</v>
      </c>
      <c r="E150" s="19">
        <v>9</v>
      </c>
      <c r="F150" s="19">
        <v>1</v>
      </c>
      <c r="G150" s="23">
        <f>H150+150.3</f>
        <v>3240.3</v>
      </c>
      <c r="H150" s="23">
        <f>I150+339.2</f>
        <v>3090</v>
      </c>
      <c r="I150" s="43">
        <v>2750.8</v>
      </c>
      <c r="J150" s="19">
        <v>126</v>
      </c>
      <c r="K150" s="19" t="s">
        <v>365</v>
      </c>
      <c r="L150" s="19" t="s">
        <v>366</v>
      </c>
      <c r="M150" s="19"/>
      <c r="N150" s="28"/>
      <c r="O150" s="28"/>
      <c r="P150" s="28"/>
      <c r="Q150" s="28"/>
      <c r="R150" s="28">
        <v>961324.71</v>
      </c>
      <c r="S150" s="28"/>
      <c r="T150" s="28"/>
      <c r="U150" s="28"/>
      <c r="V150" s="28"/>
      <c r="W150" s="28"/>
      <c r="X150" s="28"/>
      <c r="Y150" s="28"/>
      <c r="Z150" s="28">
        <v>55000</v>
      </c>
      <c r="AA150" s="28">
        <f>R150+Z150</f>
        <v>1016324.71</v>
      </c>
      <c r="AB150" s="28">
        <f>AA150</f>
        <v>1016324.71</v>
      </c>
      <c r="AC150" s="28"/>
      <c r="AD150" s="28"/>
      <c r="AE150" s="37"/>
      <c r="AF150" s="19">
        <v>2020</v>
      </c>
      <c r="AG150" s="19">
        <v>2021</v>
      </c>
    </row>
    <row r="151" spans="1:33" ht="84.9" hidden="1" customHeight="1" x14ac:dyDescent="0.45">
      <c r="A151" s="19">
        <v>135</v>
      </c>
      <c r="B151" s="19" t="s">
        <v>587</v>
      </c>
      <c r="C151" s="19" t="s">
        <v>723</v>
      </c>
      <c r="D151" s="19">
        <v>1983</v>
      </c>
      <c r="E151" s="19">
        <v>9</v>
      </c>
      <c r="F151" s="19">
        <v>1</v>
      </c>
      <c r="G151" s="23">
        <v>2967.8</v>
      </c>
      <c r="H151" s="23">
        <v>2705.2</v>
      </c>
      <c r="I151" s="23" t="s">
        <v>364</v>
      </c>
      <c r="J151" s="19" t="s">
        <v>364</v>
      </c>
      <c r="K151" s="19" t="s">
        <v>365</v>
      </c>
      <c r="L151" s="19" t="s">
        <v>366</v>
      </c>
      <c r="M151" s="19"/>
      <c r="N151" s="28"/>
      <c r="O151" s="28"/>
      <c r="P151" s="28"/>
      <c r="Q151" s="28"/>
      <c r="R151" s="28">
        <v>961324.71</v>
      </c>
      <c r="S151" s="28"/>
      <c r="T151" s="28"/>
      <c r="U151" s="28"/>
      <c r="V151" s="28"/>
      <c r="W151" s="28"/>
      <c r="X151" s="28"/>
      <c r="Y151" s="28"/>
      <c r="Z151" s="28">
        <v>55000</v>
      </c>
      <c r="AA151" s="28">
        <f t="shared" ref="AA151:AA158" si="18">SUM(N151:Z151)</f>
        <v>1016324.71</v>
      </c>
      <c r="AB151" s="28"/>
      <c r="AC151" s="28"/>
      <c r="AD151" s="28">
        <f>AA151</f>
        <v>1016324.71</v>
      </c>
      <c r="AE151" s="37"/>
      <c r="AF151" s="19">
        <v>2020</v>
      </c>
      <c r="AG151" s="19">
        <v>2022</v>
      </c>
    </row>
    <row r="152" spans="1:33" ht="113.25" hidden="1" customHeight="1" x14ac:dyDescent="0.45">
      <c r="A152" s="19">
        <v>136</v>
      </c>
      <c r="B152" s="19" t="s">
        <v>587</v>
      </c>
      <c r="C152" s="19" t="s">
        <v>724</v>
      </c>
      <c r="D152" s="19">
        <v>1952</v>
      </c>
      <c r="E152" s="19">
        <v>5</v>
      </c>
      <c r="F152" s="19">
        <v>3</v>
      </c>
      <c r="G152" s="23">
        <v>3892.8</v>
      </c>
      <c r="H152" s="23">
        <v>2789.8</v>
      </c>
      <c r="I152" s="19" t="s">
        <v>364</v>
      </c>
      <c r="J152" s="19" t="s">
        <v>364</v>
      </c>
      <c r="K152" s="19" t="s">
        <v>365</v>
      </c>
      <c r="L152" s="19" t="s">
        <v>449</v>
      </c>
      <c r="M152" s="19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>
        <v>8776064</v>
      </c>
      <c r="Y152" s="28"/>
      <c r="Z152" s="28"/>
      <c r="AA152" s="28">
        <f t="shared" si="18"/>
        <v>8776064</v>
      </c>
      <c r="AB152" s="28">
        <f t="shared" ref="AB152:AB156" si="19">SUM(O152:Z152)</f>
        <v>8776064</v>
      </c>
      <c r="AC152" s="28"/>
      <c r="AD152" s="28"/>
      <c r="AE152" s="37"/>
      <c r="AF152" s="19">
        <v>2020</v>
      </c>
      <c r="AG152" s="19">
        <v>2022</v>
      </c>
    </row>
    <row r="153" spans="1:33" ht="84.9" hidden="1" customHeight="1" x14ac:dyDescent="0.45">
      <c r="A153" s="19">
        <v>137</v>
      </c>
      <c r="B153" s="19" t="s">
        <v>587</v>
      </c>
      <c r="C153" s="19" t="s">
        <v>725</v>
      </c>
      <c r="D153" s="19">
        <v>1958</v>
      </c>
      <c r="E153" s="19">
        <v>8</v>
      </c>
      <c r="F153" s="19">
        <v>6</v>
      </c>
      <c r="G153" s="23">
        <v>13455.6</v>
      </c>
      <c r="H153" s="23">
        <v>9132.4</v>
      </c>
      <c r="I153" s="23" t="s">
        <v>364</v>
      </c>
      <c r="J153" s="19" t="s">
        <v>364</v>
      </c>
      <c r="K153" s="19" t="s">
        <v>365</v>
      </c>
      <c r="L153" s="19" t="s">
        <v>366</v>
      </c>
      <c r="M153" s="19"/>
      <c r="N153" s="28"/>
      <c r="O153" s="28"/>
      <c r="P153" s="28"/>
      <c r="Q153" s="28"/>
      <c r="R153" s="28"/>
      <c r="S153" s="28"/>
      <c r="T153" s="28"/>
      <c r="U153" s="28">
        <v>17771139.719999999</v>
      </c>
      <c r="V153" s="28"/>
      <c r="W153" s="28"/>
      <c r="X153" s="28"/>
      <c r="Y153" s="28"/>
      <c r="Z153" s="28">
        <v>455670.24</v>
      </c>
      <c r="AA153" s="28">
        <f t="shared" si="18"/>
        <v>18226809.959999997</v>
      </c>
      <c r="AB153" s="28"/>
      <c r="AC153" s="28"/>
      <c r="AD153" s="28">
        <v>18226809.960000001</v>
      </c>
      <c r="AE153" s="37"/>
      <c r="AF153" s="19">
        <v>2020</v>
      </c>
      <c r="AG153" s="19">
        <v>2022</v>
      </c>
    </row>
    <row r="154" spans="1:33" ht="84.9" hidden="1" customHeight="1" x14ac:dyDescent="0.45">
      <c r="A154" s="19">
        <v>138</v>
      </c>
      <c r="B154" s="19" t="s">
        <v>587</v>
      </c>
      <c r="C154" s="19" t="s">
        <v>726</v>
      </c>
      <c r="D154" s="19">
        <v>1958</v>
      </c>
      <c r="E154" s="19">
        <v>5</v>
      </c>
      <c r="F154" s="19">
        <v>5</v>
      </c>
      <c r="G154" s="23">
        <v>4377.8</v>
      </c>
      <c r="H154" s="23">
        <v>3834.4</v>
      </c>
      <c r="I154" s="19" t="s">
        <v>364</v>
      </c>
      <c r="J154" s="19" t="s">
        <v>364</v>
      </c>
      <c r="K154" s="19" t="s">
        <v>365</v>
      </c>
      <c r="L154" s="19" t="s">
        <v>366</v>
      </c>
      <c r="M154" s="19"/>
      <c r="N154" s="28"/>
      <c r="O154" s="28"/>
      <c r="P154" s="28"/>
      <c r="Q154" s="28"/>
      <c r="R154" s="28"/>
      <c r="S154" s="28"/>
      <c r="T154" s="28"/>
      <c r="U154" s="28"/>
      <c r="V154" s="28">
        <v>15524712.5</v>
      </c>
      <c r="W154" s="28"/>
      <c r="X154" s="28">
        <v>10231752.380000001</v>
      </c>
      <c r="Y154" s="28"/>
      <c r="Z154" s="28"/>
      <c r="AA154" s="28">
        <f t="shared" si="18"/>
        <v>25756464.880000003</v>
      </c>
      <c r="AB154" s="28">
        <f t="shared" si="19"/>
        <v>25756464.880000003</v>
      </c>
      <c r="AC154" s="28"/>
      <c r="AD154" s="28"/>
      <c r="AE154" s="37"/>
      <c r="AF154" s="19">
        <v>2020</v>
      </c>
      <c r="AG154" s="19">
        <v>2022</v>
      </c>
    </row>
    <row r="155" spans="1:33" ht="113.25" hidden="1" customHeight="1" x14ac:dyDescent="0.45">
      <c r="A155" s="19">
        <v>139</v>
      </c>
      <c r="B155" s="19" t="s">
        <v>587</v>
      </c>
      <c r="C155" s="19" t="s">
        <v>727</v>
      </c>
      <c r="D155" s="19">
        <v>1958</v>
      </c>
      <c r="E155" s="19">
        <v>5</v>
      </c>
      <c r="F155" s="19">
        <v>5</v>
      </c>
      <c r="G155" s="23">
        <v>5662.6</v>
      </c>
      <c r="H155" s="23">
        <v>4240.1000000000004</v>
      </c>
      <c r="I155" s="19" t="s">
        <v>364</v>
      </c>
      <c r="J155" s="19" t="s">
        <v>364</v>
      </c>
      <c r="K155" s="19" t="s">
        <v>423</v>
      </c>
      <c r="L155" s="19" t="s">
        <v>449</v>
      </c>
      <c r="M155" s="19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>
        <v>10873158</v>
      </c>
      <c r="Y155" s="28"/>
      <c r="Z155" s="28"/>
      <c r="AA155" s="28">
        <f t="shared" si="18"/>
        <v>10873158</v>
      </c>
      <c r="AB155" s="28">
        <f t="shared" si="19"/>
        <v>10873158</v>
      </c>
      <c r="AC155" s="28"/>
      <c r="AD155" s="28"/>
      <c r="AE155" s="37"/>
      <c r="AF155" s="19">
        <v>2020</v>
      </c>
      <c r="AG155" s="19">
        <v>2022</v>
      </c>
    </row>
    <row r="156" spans="1:33" ht="113.25" hidden="1" customHeight="1" x14ac:dyDescent="0.45">
      <c r="A156" s="19">
        <v>140</v>
      </c>
      <c r="B156" s="19" t="s">
        <v>587</v>
      </c>
      <c r="C156" s="19" t="s">
        <v>728</v>
      </c>
      <c r="D156" s="19">
        <v>1961</v>
      </c>
      <c r="E156" s="19">
        <v>5</v>
      </c>
      <c r="F156" s="19">
        <v>5</v>
      </c>
      <c r="G156" s="23">
        <v>6584.5</v>
      </c>
      <c r="H156" s="23">
        <v>3471.9</v>
      </c>
      <c r="I156" s="19" t="s">
        <v>364</v>
      </c>
      <c r="J156" s="19" t="s">
        <v>364</v>
      </c>
      <c r="K156" s="19" t="s">
        <v>365</v>
      </c>
      <c r="L156" s="19" t="s">
        <v>449</v>
      </c>
      <c r="M156" s="19"/>
      <c r="N156" s="28"/>
      <c r="O156" s="28"/>
      <c r="P156" s="28"/>
      <c r="Q156" s="28"/>
      <c r="R156" s="28"/>
      <c r="S156" s="28"/>
      <c r="T156" s="28"/>
      <c r="U156" s="28"/>
      <c r="V156" s="28">
        <v>17450583</v>
      </c>
      <c r="W156" s="28"/>
      <c r="X156" s="28">
        <v>9598533.6500000004</v>
      </c>
      <c r="Y156" s="28"/>
      <c r="Z156" s="28"/>
      <c r="AA156" s="28">
        <f t="shared" si="18"/>
        <v>27049116.649999999</v>
      </c>
      <c r="AB156" s="28">
        <f t="shared" si="19"/>
        <v>27049116.649999999</v>
      </c>
      <c r="AC156" s="28"/>
      <c r="AD156" s="28"/>
      <c r="AE156" s="37"/>
      <c r="AF156" s="19">
        <v>2020</v>
      </c>
      <c r="AG156" s="19">
        <v>2022</v>
      </c>
    </row>
    <row r="157" spans="1:33" ht="84.9" hidden="1" customHeight="1" x14ac:dyDescent="0.45">
      <c r="A157" s="19">
        <v>141</v>
      </c>
      <c r="B157" s="19" t="s">
        <v>587</v>
      </c>
      <c r="C157" s="19" t="s">
        <v>729</v>
      </c>
      <c r="D157" s="19">
        <v>1953</v>
      </c>
      <c r="E157" s="19">
        <v>4</v>
      </c>
      <c r="F157" s="19">
        <v>1</v>
      </c>
      <c r="G157" s="23">
        <v>1614.9</v>
      </c>
      <c r="H157" s="23">
        <v>1235.5999999999999</v>
      </c>
      <c r="I157" s="23">
        <v>1023.6</v>
      </c>
      <c r="J157" s="19" t="s">
        <v>364</v>
      </c>
      <c r="K157" s="19" t="s">
        <v>371</v>
      </c>
      <c r="L157" s="19" t="s">
        <v>366</v>
      </c>
      <c r="M157" s="19"/>
      <c r="N157" s="28"/>
      <c r="O157" s="28"/>
      <c r="P157" s="28"/>
      <c r="Q157" s="28"/>
      <c r="R157" s="28"/>
      <c r="S157" s="28"/>
      <c r="T157" s="28"/>
      <c r="U157" s="28"/>
      <c r="V157" s="28">
        <v>5110959.7488599997</v>
      </c>
      <c r="W157" s="28"/>
      <c r="X157" s="28"/>
      <c r="Y157" s="28"/>
      <c r="Z157" s="28">
        <v>102219.2</v>
      </c>
      <c r="AA157" s="28">
        <f t="shared" si="18"/>
        <v>5213178.9488599999</v>
      </c>
      <c r="AB157" s="28"/>
      <c r="AC157" s="28"/>
      <c r="AD157" s="28">
        <f t="shared" ref="AD157:AD162" si="20">AA157</f>
        <v>5213178.9488599999</v>
      </c>
      <c r="AE157" s="37"/>
      <c r="AF157" s="19">
        <v>2020</v>
      </c>
      <c r="AG157" s="19">
        <v>2022</v>
      </c>
    </row>
    <row r="158" spans="1:33" ht="84.9" hidden="1" customHeight="1" x14ac:dyDescent="0.45">
      <c r="A158" s="19">
        <v>142</v>
      </c>
      <c r="B158" s="19" t="s">
        <v>587</v>
      </c>
      <c r="C158" s="19" t="s">
        <v>730</v>
      </c>
      <c r="D158" s="19">
        <v>1941</v>
      </c>
      <c r="E158" s="19">
        <v>4</v>
      </c>
      <c r="F158" s="19">
        <v>3</v>
      </c>
      <c r="G158" s="23">
        <v>3299.3</v>
      </c>
      <c r="H158" s="23">
        <v>1902.2</v>
      </c>
      <c r="I158" s="23" t="s">
        <v>364</v>
      </c>
      <c r="J158" s="19" t="s">
        <v>364</v>
      </c>
      <c r="K158" s="19" t="s">
        <v>365</v>
      </c>
      <c r="L158" s="19" t="s">
        <v>366</v>
      </c>
      <c r="M158" s="19"/>
      <c r="N158" s="28"/>
      <c r="O158" s="28"/>
      <c r="P158" s="28"/>
      <c r="Q158" s="28"/>
      <c r="R158" s="28"/>
      <c r="S158" s="28"/>
      <c r="T158" s="28"/>
      <c r="U158" s="28"/>
      <c r="V158" s="28">
        <v>7868296.8899999997</v>
      </c>
      <c r="W158" s="28"/>
      <c r="X158" s="28"/>
      <c r="Y158" s="28">
        <v>504921.9</v>
      </c>
      <c r="Z158" s="28">
        <v>147458.82</v>
      </c>
      <c r="AA158" s="28">
        <f t="shared" si="18"/>
        <v>8520677.6099999994</v>
      </c>
      <c r="AB158" s="28"/>
      <c r="AC158" s="28"/>
      <c r="AD158" s="28">
        <v>8520677.6099999994</v>
      </c>
      <c r="AE158" s="37"/>
      <c r="AF158" s="19">
        <v>2020</v>
      </c>
      <c r="AG158" s="19">
        <v>2022</v>
      </c>
    </row>
    <row r="159" spans="1:33" ht="84.9" hidden="1" customHeight="1" x14ac:dyDescent="0.45">
      <c r="A159" s="19">
        <v>143</v>
      </c>
      <c r="B159" s="19" t="s">
        <v>587</v>
      </c>
      <c r="C159" s="19" t="s">
        <v>731</v>
      </c>
      <c r="D159" s="19">
        <v>1985</v>
      </c>
      <c r="E159" s="19">
        <v>9</v>
      </c>
      <c r="F159" s="19">
        <v>1</v>
      </c>
      <c r="G159" s="23">
        <v>1254.5</v>
      </c>
      <c r="H159" s="23" t="s">
        <v>364</v>
      </c>
      <c r="I159" s="23" t="s">
        <v>732</v>
      </c>
      <c r="J159" s="19">
        <v>32</v>
      </c>
      <c r="K159" s="19" t="s">
        <v>423</v>
      </c>
      <c r="L159" s="19" t="s">
        <v>366</v>
      </c>
      <c r="M159" s="19"/>
      <c r="N159" s="28"/>
      <c r="O159" s="28">
        <v>2538668.5099999998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>
        <v>152320.10999999999</v>
      </c>
      <c r="AA159" s="28">
        <v>2690988.62</v>
      </c>
      <c r="AB159" s="28">
        <f>AA159</f>
        <v>2690988.62</v>
      </c>
      <c r="AC159" s="28"/>
      <c r="AD159" s="30"/>
      <c r="AE159" s="37"/>
      <c r="AF159" s="19">
        <v>2020</v>
      </c>
      <c r="AG159" s="19">
        <v>2021</v>
      </c>
    </row>
    <row r="160" spans="1:33" ht="84.9" hidden="1" customHeight="1" x14ac:dyDescent="0.45">
      <c r="A160" s="19">
        <v>144</v>
      </c>
      <c r="B160" s="19" t="s">
        <v>587</v>
      </c>
      <c r="C160" s="19" t="s">
        <v>733</v>
      </c>
      <c r="D160" s="19">
        <v>1953</v>
      </c>
      <c r="E160" s="19">
        <v>4</v>
      </c>
      <c r="F160" s="19">
        <v>2</v>
      </c>
      <c r="G160" s="23">
        <v>2505.8000000000002</v>
      </c>
      <c r="H160" s="23">
        <v>1405.4</v>
      </c>
      <c r="I160" s="23" t="s">
        <v>364</v>
      </c>
      <c r="J160" s="19">
        <v>41</v>
      </c>
      <c r="K160" s="19" t="s">
        <v>365</v>
      </c>
      <c r="L160" s="19" t="s">
        <v>366</v>
      </c>
      <c r="M160" s="19"/>
      <c r="N160" s="28"/>
      <c r="O160" s="28"/>
      <c r="P160" s="28"/>
      <c r="Q160" s="28"/>
      <c r="R160" s="28"/>
      <c r="S160" s="28"/>
      <c r="T160" s="28"/>
      <c r="U160" s="28"/>
      <c r="V160" s="28">
        <v>5813323.7544900002</v>
      </c>
      <c r="W160" s="28"/>
      <c r="X160" s="28"/>
      <c r="Y160" s="28"/>
      <c r="Z160" s="28">
        <v>116266.48</v>
      </c>
      <c r="AA160" s="28">
        <f t="shared" ref="AA160:AA162" si="21">SUM(V160+Z160)</f>
        <v>5929590.2344900006</v>
      </c>
      <c r="AB160" s="28"/>
      <c r="AC160" s="28"/>
      <c r="AD160" s="28">
        <f t="shared" si="20"/>
        <v>5929590.2344900006</v>
      </c>
      <c r="AE160" s="37"/>
      <c r="AF160" s="19">
        <v>2020</v>
      </c>
      <c r="AG160" s="19">
        <v>2022</v>
      </c>
    </row>
    <row r="161" spans="1:33" ht="84.9" hidden="1" customHeight="1" x14ac:dyDescent="0.45">
      <c r="A161" s="19">
        <v>145</v>
      </c>
      <c r="B161" s="19" t="s">
        <v>587</v>
      </c>
      <c r="C161" s="19" t="s">
        <v>734</v>
      </c>
      <c r="D161" s="19">
        <v>1960</v>
      </c>
      <c r="E161" s="19">
        <v>3</v>
      </c>
      <c r="F161" s="19">
        <v>2</v>
      </c>
      <c r="G161" s="23">
        <v>1116.0999999999999</v>
      </c>
      <c r="H161" s="23">
        <v>966.1</v>
      </c>
      <c r="I161" s="23" t="s">
        <v>364</v>
      </c>
      <c r="J161" s="19" t="s">
        <v>364</v>
      </c>
      <c r="K161" s="19" t="s">
        <v>365</v>
      </c>
      <c r="L161" s="19" t="s">
        <v>366</v>
      </c>
      <c r="M161" s="19"/>
      <c r="N161" s="28"/>
      <c r="O161" s="28"/>
      <c r="P161" s="28"/>
      <c r="Q161" s="28"/>
      <c r="R161" s="28"/>
      <c r="S161" s="28"/>
      <c r="T161" s="28"/>
      <c r="U161" s="28"/>
      <c r="V161" s="28">
        <v>3754204.36</v>
      </c>
      <c r="W161" s="28"/>
      <c r="X161" s="28"/>
      <c r="Y161" s="28"/>
      <c r="Z161" s="28">
        <v>48804.66</v>
      </c>
      <c r="AA161" s="28">
        <f t="shared" si="21"/>
        <v>3803009.02</v>
      </c>
      <c r="AB161" s="28"/>
      <c r="AC161" s="28"/>
      <c r="AD161" s="28">
        <f t="shared" si="20"/>
        <v>3803009.02</v>
      </c>
      <c r="AE161" s="37"/>
      <c r="AF161" s="19">
        <v>2020</v>
      </c>
      <c r="AG161" s="19">
        <v>2022</v>
      </c>
    </row>
    <row r="162" spans="1:33" ht="84.9" hidden="1" customHeight="1" x14ac:dyDescent="0.45">
      <c r="A162" s="19">
        <v>146</v>
      </c>
      <c r="B162" s="19" t="s">
        <v>587</v>
      </c>
      <c r="C162" s="19" t="s">
        <v>519</v>
      </c>
      <c r="D162" s="19">
        <v>1951</v>
      </c>
      <c r="E162" s="19">
        <v>3</v>
      </c>
      <c r="F162" s="19">
        <v>3</v>
      </c>
      <c r="G162" s="23">
        <v>1914.5</v>
      </c>
      <c r="H162" s="23">
        <v>1905.9</v>
      </c>
      <c r="I162" s="23" t="s">
        <v>364</v>
      </c>
      <c r="J162" s="19" t="s">
        <v>364</v>
      </c>
      <c r="K162" s="19" t="s">
        <v>423</v>
      </c>
      <c r="L162" s="19" t="s">
        <v>366</v>
      </c>
      <c r="M162" s="19"/>
      <c r="N162" s="28"/>
      <c r="O162" s="28"/>
      <c r="P162" s="28"/>
      <c r="Q162" s="28"/>
      <c r="R162" s="28"/>
      <c r="S162" s="28"/>
      <c r="T162" s="28"/>
      <c r="U162" s="28"/>
      <c r="V162" s="28">
        <v>7883601.6399999997</v>
      </c>
      <c r="W162" s="28"/>
      <c r="X162" s="28"/>
      <c r="Y162" s="28"/>
      <c r="Z162" s="28">
        <v>102486.82</v>
      </c>
      <c r="AA162" s="28">
        <f t="shared" si="21"/>
        <v>7986088.46</v>
      </c>
      <c r="AB162" s="28"/>
      <c r="AC162" s="28"/>
      <c r="AD162" s="28">
        <f t="shared" si="20"/>
        <v>7986088.46</v>
      </c>
      <c r="AE162" s="37"/>
      <c r="AF162" s="19">
        <v>2020</v>
      </c>
      <c r="AG162" s="19">
        <v>2022</v>
      </c>
    </row>
    <row r="163" spans="1:33" ht="107.25" hidden="1" customHeight="1" x14ac:dyDescent="0.45">
      <c r="A163" s="19">
        <v>147</v>
      </c>
      <c r="B163" s="19" t="s">
        <v>587</v>
      </c>
      <c r="C163" s="19" t="s">
        <v>735</v>
      </c>
      <c r="D163" s="19">
        <v>1958</v>
      </c>
      <c r="E163" s="19">
        <v>4</v>
      </c>
      <c r="F163" s="19">
        <v>3</v>
      </c>
      <c r="G163" s="23">
        <v>3668.8</v>
      </c>
      <c r="H163" s="23">
        <v>3385.4</v>
      </c>
      <c r="I163" s="23" t="s">
        <v>364</v>
      </c>
      <c r="J163" s="19" t="s">
        <v>364</v>
      </c>
      <c r="K163" s="19" t="s">
        <v>365</v>
      </c>
      <c r="L163" s="19" t="s">
        <v>449</v>
      </c>
      <c r="M163" s="19"/>
      <c r="N163" s="28"/>
      <c r="O163" s="28"/>
      <c r="P163" s="28"/>
      <c r="Q163" s="28"/>
      <c r="R163" s="28"/>
      <c r="S163" s="28"/>
      <c r="T163" s="28"/>
      <c r="U163" s="28"/>
      <c r="V163" s="28">
        <v>9394550</v>
      </c>
      <c r="W163" s="28"/>
      <c r="X163" s="28">
        <v>6326678.2000000002</v>
      </c>
      <c r="Y163" s="28"/>
      <c r="Z163" s="28"/>
      <c r="AA163" s="28">
        <f>N163+O163+P163+Q163+R163+S163+T163+U163+V163+W163+X163+Y163+Z163</f>
        <v>15721228.199999999</v>
      </c>
      <c r="AB163" s="28">
        <f>SUM(N163:Z163)</f>
        <v>15721228.199999999</v>
      </c>
      <c r="AC163" s="28"/>
      <c r="AD163" s="28"/>
      <c r="AE163" s="37"/>
      <c r="AF163" s="19">
        <v>2020</v>
      </c>
      <c r="AG163" s="19">
        <v>2022</v>
      </c>
    </row>
    <row r="164" spans="1:33" ht="117" hidden="1" customHeight="1" x14ac:dyDescent="0.45">
      <c r="A164" s="19">
        <v>148</v>
      </c>
      <c r="B164" s="19" t="s">
        <v>587</v>
      </c>
      <c r="C164" s="19" t="s">
        <v>736</v>
      </c>
      <c r="D164" s="19">
        <v>1960</v>
      </c>
      <c r="E164" s="19">
        <v>5</v>
      </c>
      <c r="F164" s="19">
        <v>4</v>
      </c>
      <c r="G164" s="23">
        <v>3263.8</v>
      </c>
      <c r="H164" s="23">
        <v>3061</v>
      </c>
      <c r="I164" s="23">
        <v>2034.5</v>
      </c>
      <c r="J164" s="19">
        <v>90</v>
      </c>
      <c r="K164" s="19" t="s">
        <v>365</v>
      </c>
      <c r="L164" s="19" t="s">
        <v>449</v>
      </c>
      <c r="M164" s="19"/>
      <c r="N164" s="28"/>
      <c r="O164" s="28"/>
      <c r="P164" s="28"/>
      <c r="Q164" s="28"/>
      <c r="R164" s="28">
        <v>961324.71</v>
      </c>
      <c r="S164" s="28"/>
      <c r="T164" s="28"/>
      <c r="U164" s="28"/>
      <c r="V164" s="28"/>
      <c r="W164" s="28"/>
      <c r="X164" s="28"/>
      <c r="Y164" s="28"/>
      <c r="Z164" s="28">
        <v>55000</v>
      </c>
      <c r="AA164" s="28">
        <f>R164+Z164</f>
        <v>1016324.71</v>
      </c>
      <c r="AB164" s="28">
        <f>AA164</f>
        <v>1016324.71</v>
      </c>
      <c r="AC164" s="28"/>
      <c r="AD164" s="28"/>
      <c r="AE164" s="37"/>
      <c r="AF164" s="19">
        <v>2020</v>
      </c>
      <c r="AG164" s="19">
        <v>2021</v>
      </c>
    </row>
    <row r="165" spans="1:33" ht="84.9" hidden="1" customHeight="1" x14ac:dyDescent="0.45">
      <c r="A165" s="352" t="s">
        <v>737</v>
      </c>
      <c r="B165" s="353"/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4"/>
      <c r="N165" s="28">
        <f t="shared" ref="N165:S165" si="22">SUM(N17:N164)</f>
        <v>1574049.91833</v>
      </c>
      <c r="O165" s="28">
        <f t="shared" si="22"/>
        <v>13110099.959999999</v>
      </c>
      <c r="P165" s="28">
        <f t="shared" si="22"/>
        <v>3053469.18848</v>
      </c>
      <c r="Q165" s="28">
        <f t="shared" si="22"/>
        <v>3958035.6071699997</v>
      </c>
      <c r="R165" s="28">
        <f t="shared" si="22"/>
        <v>28839741.300000019</v>
      </c>
      <c r="S165" s="28">
        <f t="shared" si="22"/>
        <v>2212031.29</v>
      </c>
      <c r="T165" s="28"/>
      <c r="U165" s="28">
        <f t="shared" ref="U165:AB165" si="23">SUM(U17:U164)</f>
        <v>434479004.61000001</v>
      </c>
      <c r="V165" s="28">
        <f t="shared" si="23"/>
        <v>167892360.07611999</v>
      </c>
      <c r="W165" s="28">
        <f t="shared" si="23"/>
        <v>850667.01182499994</v>
      </c>
      <c r="X165" s="28">
        <f t="shared" si="23"/>
        <v>136642058.573535</v>
      </c>
      <c r="Y165" s="28">
        <f t="shared" si="23"/>
        <v>5778845.8065600004</v>
      </c>
      <c r="Z165" s="28">
        <f t="shared" si="23"/>
        <v>6917554.5900000026</v>
      </c>
      <c r="AA165" s="28">
        <f t="shared" si="23"/>
        <v>805307917.93202066</v>
      </c>
      <c r="AB165" s="28">
        <f t="shared" si="23"/>
        <v>306927389.89000005</v>
      </c>
      <c r="AC165" s="28"/>
      <c r="AD165" s="28">
        <f>SUM(AD17:AD163)</f>
        <v>498380528.03891981</v>
      </c>
      <c r="AE165" s="19"/>
      <c r="AF165" s="19"/>
      <c r="AG165" s="19"/>
    </row>
    <row r="166" spans="1:33" ht="84.9" hidden="1" customHeight="1" x14ac:dyDescent="0.45">
      <c r="A166" s="365" t="s">
        <v>738</v>
      </c>
      <c r="B166" s="366"/>
      <c r="C166" s="366"/>
      <c r="D166" s="366"/>
      <c r="E166" s="366"/>
      <c r="F166" s="366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  <c r="AA166" s="366"/>
      <c r="AB166" s="366"/>
      <c r="AC166" s="366"/>
      <c r="AD166" s="366"/>
      <c r="AE166" s="366"/>
      <c r="AF166" s="366"/>
      <c r="AG166" s="367"/>
    </row>
    <row r="167" spans="1:33" ht="84.9" hidden="1" customHeight="1" x14ac:dyDescent="0.45">
      <c r="A167" s="19">
        <v>149</v>
      </c>
      <c r="B167" s="19" t="s">
        <v>587</v>
      </c>
      <c r="C167" s="19" t="s">
        <v>739</v>
      </c>
      <c r="D167" s="19">
        <v>1970</v>
      </c>
      <c r="E167" s="19">
        <v>9</v>
      </c>
      <c r="F167" s="19">
        <v>2</v>
      </c>
      <c r="G167" s="19">
        <v>4642.8</v>
      </c>
      <c r="H167" s="23">
        <v>4010.3</v>
      </c>
      <c r="I167" s="19">
        <v>3761.9</v>
      </c>
      <c r="J167" s="19">
        <v>157</v>
      </c>
      <c r="K167" s="19" t="s">
        <v>365</v>
      </c>
      <c r="L167" s="19" t="s">
        <v>366</v>
      </c>
      <c r="M167" s="19"/>
      <c r="N167" s="19"/>
      <c r="O167" s="28" t="s">
        <v>740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>
        <v>150069.07</v>
      </c>
      <c r="AA167" s="28">
        <v>2501151.2400000002</v>
      </c>
      <c r="AB167" s="28">
        <v>2501151.2400000002</v>
      </c>
      <c r="AC167" s="19"/>
      <c r="AD167" s="19"/>
      <c r="AE167" s="19"/>
      <c r="AF167" s="19">
        <v>2021</v>
      </c>
      <c r="AG167" s="19">
        <v>2021</v>
      </c>
    </row>
    <row r="168" spans="1:33" ht="84.9" hidden="1" customHeight="1" x14ac:dyDescent="0.45">
      <c r="A168" s="19">
        <v>150</v>
      </c>
      <c r="B168" s="19" t="s">
        <v>587</v>
      </c>
      <c r="C168" s="19" t="s">
        <v>741</v>
      </c>
      <c r="D168" s="19">
        <v>1970</v>
      </c>
      <c r="E168" s="19">
        <v>9</v>
      </c>
      <c r="F168" s="19">
        <v>4</v>
      </c>
      <c r="G168" s="19">
        <v>8884.1</v>
      </c>
      <c r="H168" s="23">
        <v>7584.3</v>
      </c>
      <c r="I168" s="19">
        <v>7449.3</v>
      </c>
      <c r="J168" s="19">
        <v>304</v>
      </c>
      <c r="K168" s="19" t="s">
        <v>365</v>
      </c>
      <c r="L168" s="19" t="s">
        <v>366</v>
      </c>
      <c r="M168" s="19"/>
      <c r="N168" s="19"/>
      <c r="O168" s="28" t="s">
        <v>742</v>
      </c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28">
        <v>300138.14</v>
      </c>
      <c r="AA168" s="28">
        <v>5002302.4800000004</v>
      </c>
      <c r="AB168" s="28">
        <v>5002302.4800000004</v>
      </c>
      <c r="AC168" s="19"/>
      <c r="AD168" s="19"/>
      <c r="AE168" s="19"/>
      <c r="AF168" s="19">
        <v>2021</v>
      </c>
      <c r="AG168" s="19">
        <v>2021</v>
      </c>
    </row>
    <row r="169" spans="1:33" ht="84.9" hidden="1" customHeight="1" x14ac:dyDescent="0.45">
      <c r="A169" s="19">
        <v>151</v>
      </c>
      <c r="B169" s="19" t="s">
        <v>587</v>
      </c>
      <c r="C169" s="19" t="s">
        <v>743</v>
      </c>
      <c r="D169" s="19">
        <v>1970</v>
      </c>
      <c r="E169" s="19">
        <v>9</v>
      </c>
      <c r="F169" s="19">
        <v>2</v>
      </c>
      <c r="G169" s="19">
        <v>4068.8</v>
      </c>
      <c r="H169" s="23">
        <v>4068.8</v>
      </c>
      <c r="I169" s="19">
        <v>4051.4</v>
      </c>
      <c r="J169" s="19">
        <v>155</v>
      </c>
      <c r="K169" s="19" t="s">
        <v>365</v>
      </c>
      <c r="L169" s="19" t="s">
        <v>366</v>
      </c>
      <c r="M169" s="19"/>
      <c r="N169" s="19"/>
      <c r="O169" s="28" t="s">
        <v>740</v>
      </c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28">
        <v>150069.07</v>
      </c>
      <c r="AA169" s="28">
        <v>2501151.2400000002</v>
      </c>
      <c r="AB169" s="28">
        <v>2501151.2400000002</v>
      </c>
      <c r="AC169" s="19"/>
      <c r="AD169" s="19"/>
      <c r="AE169" s="19"/>
      <c r="AF169" s="19">
        <v>2021</v>
      </c>
      <c r="AG169" s="19">
        <v>2021</v>
      </c>
    </row>
    <row r="170" spans="1:33" ht="84.9" hidden="1" customHeight="1" x14ac:dyDescent="0.45">
      <c r="A170" s="19">
        <v>152</v>
      </c>
      <c r="B170" s="19" t="s">
        <v>587</v>
      </c>
      <c r="C170" s="19" t="s">
        <v>744</v>
      </c>
      <c r="D170" s="19">
        <v>1968</v>
      </c>
      <c r="E170" s="19">
        <v>5</v>
      </c>
      <c r="F170" s="19">
        <v>4</v>
      </c>
      <c r="G170" s="19">
        <v>3429.3</v>
      </c>
      <c r="H170" s="23">
        <v>3410.3</v>
      </c>
      <c r="I170" s="19">
        <v>3410.3</v>
      </c>
      <c r="J170" s="19">
        <v>161</v>
      </c>
      <c r="K170" s="19" t="s">
        <v>365</v>
      </c>
      <c r="L170" s="19" t="s">
        <v>366</v>
      </c>
      <c r="M170" s="19"/>
      <c r="N170" s="19"/>
      <c r="O170" s="28" t="s">
        <v>740</v>
      </c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28">
        <v>150069.07</v>
      </c>
      <c r="AA170" s="28">
        <v>2501151.2400000002</v>
      </c>
      <c r="AB170" s="28">
        <v>2501151.2400000002</v>
      </c>
      <c r="AC170" s="19"/>
      <c r="AD170" s="19"/>
      <c r="AE170" s="19"/>
      <c r="AF170" s="19">
        <v>2021</v>
      </c>
      <c r="AG170" s="19">
        <v>2021</v>
      </c>
    </row>
    <row r="171" spans="1:33" ht="84.9" hidden="1" customHeight="1" x14ac:dyDescent="0.45">
      <c r="A171" s="19">
        <v>153</v>
      </c>
      <c r="B171" s="19" t="s">
        <v>587</v>
      </c>
      <c r="C171" s="19" t="s">
        <v>745</v>
      </c>
      <c r="D171" s="19">
        <v>1967</v>
      </c>
      <c r="E171" s="19">
        <v>5</v>
      </c>
      <c r="F171" s="19">
        <v>6</v>
      </c>
      <c r="G171" s="19">
        <v>4621.2</v>
      </c>
      <c r="H171" s="23">
        <v>4589.8</v>
      </c>
      <c r="I171" s="19">
        <v>4589.8</v>
      </c>
      <c r="J171" s="19">
        <v>240</v>
      </c>
      <c r="K171" s="19" t="s">
        <v>365</v>
      </c>
      <c r="L171" s="19" t="s">
        <v>366</v>
      </c>
      <c r="M171" s="19"/>
      <c r="N171" s="19"/>
      <c r="O171" s="28" t="s">
        <v>740</v>
      </c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28">
        <v>150069.07</v>
      </c>
      <c r="AA171" s="28">
        <v>2501151.2400000002</v>
      </c>
      <c r="AB171" s="28">
        <v>2501151.2400000002</v>
      </c>
      <c r="AC171" s="19"/>
      <c r="AD171" s="19"/>
      <c r="AE171" s="19"/>
      <c r="AF171" s="19">
        <v>2021</v>
      </c>
      <c r="AG171" s="19">
        <v>2021</v>
      </c>
    </row>
    <row r="172" spans="1:33" ht="84.9" hidden="1" customHeight="1" x14ac:dyDescent="0.45">
      <c r="A172" s="19">
        <v>154</v>
      </c>
      <c r="B172" s="19" t="s">
        <v>587</v>
      </c>
      <c r="C172" s="19" t="s">
        <v>746</v>
      </c>
      <c r="D172" s="19">
        <v>1967</v>
      </c>
      <c r="E172" s="19">
        <v>5</v>
      </c>
      <c r="F172" s="19">
        <v>6</v>
      </c>
      <c r="G172" s="19">
        <v>3973.9</v>
      </c>
      <c r="H172" s="23">
        <v>3949.8</v>
      </c>
      <c r="I172" s="19">
        <v>3949.8</v>
      </c>
      <c r="J172" s="19">
        <v>188</v>
      </c>
      <c r="K172" s="19" t="s">
        <v>365</v>
      </c>
      <c r="L172" s="19" t="s">
        <v>366</v>
      </c>
      <c r="M172" s="19"/>
      <c r="N172" s="19"/>
      <c r="O172" s="28" t="s">
        <v>740</v>
      </c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28">
        <v>150069.07</v>
      </c>
      <c r="AA172" s="28">
        <v>2501151.2400000002</v>
      </c>
      <c r="AB172" s="28">
        <v>2501151.2400000002</v>
      </c>
      <c r="AC172" s="19"/>
      <c r="AD172" s="19"/>
      <c r="AE172" s="19"/>
      <c r="AF172" s="19">
        <v>2021</v>
      </c>
      <c r="AG172" s="19">
        <v>2021</v>
      </c>
    </row>
    <row r="173" spans="1:33" ht="84.9" hidden="1" customHeight="1" x14ac:dyDescent="0.45">
      <c r="A173" s="19">
        <v>155</v>
      </c>
      <c r="B173" s="19" t="s">
        <v>587</v>
      </c>
      <c r="C173" s="19" t="s">
        <v>747</v>
      </c>
      <c r="D173" s="19">
        <v>1967</v>
      </c>
      <c r="E173" s="19">
        <v>5</v>
      </c>
      <c r="F173" s="19">
        <v>8</v>
      </c>
      <c r="G173" s="19">
        <v>5829.5</v>
      </c>
      <c r="H173" s="23">
        <v>5816.7</v>
      </c>
      <c r="I173" s="19">
        <v>5816.7</v>
      </c>
      <c r="J173" s="19">
        <v>288</v>
      </c>
      <c r="K173" s="19" t="s">
        <v>365</v>
      </c>
      <c r="L173" s="19" t="s">
        <v>366</v>
      </c>
      <c r="M173" s="19"/>
      <c r="N173" s="19"/>
      <c r="O173" s="28" t="s">
        <v>740</v>
      </c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28">
        <v>150069.07</v>
      </c>
      <c r="AA173" s="28">
        <v>2501151.2400000002</v>
      </c>
      <c r="AB173" s="28">
        <v>2501151.2400000002</v>
      </c>
      <c r="AC173" s="19"/>
      <c r="AD173" s="19"/>
      <c r="AE173" s="19"/>
      <c r="AF173" s="19">
        <v>2021</v>
      </c>
      <c r="AG173" s="19">
        <v>2021</v>
      </c>
    </row>
    <row r="174" spans="1:33" ht="84.9" hidden="1" customHeight="1" x14ac:dyDescent="0.45">
      <c r="A174" s="19">
        <v>156</v>
      </c>
      <c r="B174" s="19" t="s">
        <v>587</v>
      </c>
      <c r="C174" s="19" t="s">
        <v>748</v>
      </c>
      <c r="D174" s="19">
        <v>1969</v>
      </c>
      <c r="E174" s="19">
        <v>9</v>
      </c>
      <c r="F174" s="19">
        <v>2</v>
      </c>
      <c r="G174" s="19">
        <v>4527.3</v>
      </c>
      <c r="H174" s="23">
        <v>3910.9</v>
      </c>
      <c r="I174" s="19">
        <v>3889.5</v>
      </c>
      <c r="J174" s="19">
        <v>173</v>
      </c>
      <c r="K174" s="19" t="s">
        <v>365</v>
      </c>
      <c r="L174" s="19" t="s">
        <v>366</v>
      </c>
      <c r="M174" s="19"/>
      <c r="N174" s="19"/>
      <c r="O174" s="28" t="s">
        <v>740</v>
      </c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28">
        <v>150069.07</v>
      </c>
      <c r="AA174" s="28">
        <v>2501151.2400000002</v>
      </c>
      <c r="AB174" s="28">
        <v>2501151.2400000002</v>
      </c>
      <c r="AC174" s="19"/>
      <c r="AD174" s="19"/>
      <c r="AE174" s="19"/>
      <c r="AF174" s="19">
        <v>2021</v>
      </c>
      <c r="AG174" s="19">
        <v>2021</v>
      </c>
    </row>
    <row r="175" spans="1:33" ht="84.9" hidden="1" customHeight="1" x14ac:dyDescent="0.45">
      <c r="A175" s="19">
        <v>157</v>
      </c>
      <c r="B175" s="19" t="s">
        <v>587</v>
      </c>
      <c r="C175" s="19" t="s">
        <v>749</v>
      </c>
      <c r="D175" s="19">
        <v>1968</v>
      </c>
      <c r="E175" s="19">
        <v>9</v>
      </c>
      <c r="F175" s="19">
        <v>2</v>
      </c>
      <c r="G175" s="19">
        <v>4564.5</v>
      </c>
      <c r="H175" s="23">
        <v>3934.8</v>
      </c>
      <c r="I175" s="19">
        <v>3913.3</v>
      </c>
      <c r="J175" s="19">
        <v>179</v>
      </c>
      <c r="K175" s="19" t="s">
        <v>365</v>
      </c>
      <c r="L175" s="19" t="s">
        <v>366</v>
      </c>
      <c r="M175" s="19"/>
      <c r="N175" s="19"/>
      <c r="O175" s="28" t="s">
        <v>740</v>
      </c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28">
        <v>150069.07</v>
      </c>
      <c r="AA175" s="28">
        <v>2501151.2400000002</v>
      </c>
      <c r="AB175" s="28">
        <v>2501151.2400000002</v>
      </c>
      <c r="AC175" s="19"/>
      <c r="AD175" s="19"/>
      <c r="AE175" s="19"/>
      <c r="AF175" s="19">
        <v>2021</v>
      </c>
      <c r="AG175" s="19">
        <v>2021</v>
      </c>
    </row>
    <row r="176" spans="1:33" ht="84.9" hidden="1" customHeight="1" x14ac:dyDescent="0.45">
      <c r="A176" s="19">
        <v>158</v>
      </c>
      <c r="B176" s="19" t="s">
        <v>587</v>
      </c>
      <c r="C176" s="19" t="s">
        <v>750</v>
      </c>
      <c r="D176" s="19">
        <v>1968</v>
      </c>
      <c r="E176" s="19">
        <v>5</v>
      </c>
      <c r="F176" s="19">
        <v>4</v>
      </c>
      <c r="G176" s="19">
        <v>3268.6</v>
      </c>
      <c r="H176" s="23">
        <v>3268.6</v>
      </c>
      <c r="I176" s="19">
        <v>2600.4</v>
      </c>
      <c r="J176" s="19">
        <v>131</v>
      </c>
      <c r="K176" s="19" t="s">
        <v>365</v>
      </c>
      <c r="L176" s="19" t="s">
        <v>366</v>
      </c>
      <c r="M176" s="19"/>
      <c r="N176" s="19"/>
      <c r="O176" s="28" t="s">
        <v>740</v>
      </c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28">
        <v>150069.07</v>
      </c>
      <c r="AA176" s="28">
        <v>2501151.2400000002</v>
      </c>
      <c r="AB176" s="28">
        <v>2501151.2400000002</v>
      </c>
      <c r="AC176" s="19"/>
      <c r="AD176" s="19"/>
      <c r="AE176" s="19"/>
      <c r="AF176" s="19">
        <v>2021</v>
      </c>
      <c r="AG176" s="19">
        <v>2021</v>
      </c>
    </row>
    <row r="177" spans="1:33" ht="84.9" hidden="1" customHeight="1" x14ac:dyDescent="0.45">
      <c r="A177" s="19">
        <v>159</v>
      </c>
      <c r="B177" s="19" t="s">
        <v>587</v>
      </c>
      <c r="C177" s="19" t="s">
        <v>751</v>
      </c>
      <c r="D177" s="19">
        <v>1970</v>
      </c>
      <c r="E177" s="19">
        <v>9</v>
      </c>
      <c r="F177" s="19">
        <v>2</v>
      </c>
      <c r="G177" s="19">
        <v>3889.9</v>
      </c>
      <c r="H177" s="23">
        <v>3872.9</v>
      </c>
      <c r="I177" s="19">
        <v>3872.9</v>
      </c>
      <c r="J177" s="19">
        <v>175</v>
      </c>
      <c r="K177" s="19" t="s">
        <v>365</v>
      </c>
      <c r="L177" s="19" t="s">
        <v>366</v>
      </c>
      <c r="M177" s="19"/>
      <c r="N177" s="19"/>
      <c r="O177" s="28" t="s">
        <v>740</v>
      </c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28">
        <v>150069.07</v>
      </c>
      <c r="AA177" s="28">
        <v>2501151.2400000002</v>
      </c>
      <c r="AB177" s="28">
        <v>2501151.2400000002</v>
      </c>
      <c r="AC177" s="19"/>
      <c r="AD177" s="19"/>
      <c r="AE177" s="19"/>
      <c r="AF177" s="19">
        <v>2021</v>
      </c>
      <c r="AG177" s="19">
        <v>2021</v>
      </c>
    </row>
    <row r="178" spans="1:33" ht="84.9" hidden="1" customHeight="1" x14ac:dyDescent="0.45">
      <c r="A178" s="19">
        <v>160</v>
      </c>
      <c r="B178" s="19" t="s">
        <v>587</v>
      </c>
      <c r="C178" s="19" t="s">
        <v>752</v>
      </c>
      <c r="D178" s="19">
        <v>1968</v>
      </c>
      <c r="E178" s="19">
        <v>5</v>
      </c>
      <c r="F178" s="19">
        <v>4</v>
      </c>
      <c r="G178" s="19">
        <v>3401.1</v>
      </c>
      <c r="H178" s="23">
        <v>3387.8</v>
      </c>
      <c r="I178" s="19">
        <v>3387.8</v>
      </c>
      <c r="J178" s="19">
        <v>166</v>
      </c>
      <c r="K178" s="19" t="s">
        <v>365</v>
      </c>
      <c r="L178" s="19" t="s">
        <v>366</v>
      </c>
      <c r="M178" s="19"/>
      <c r="N178" s="19"/>
      <c r="O178" s="28" t="s">
        <v>740</v>
      </c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28">
        <v>150069.07</v>
      </c>
      <c r="AA178" s="28">
        <v>2501151.2400000002</v>
      </c>
      <c r="AB178" s="28">
        <v>2501151.2400000002</v>
      </c>
      <c r="AC178" s="19"/>
      <c r="AD178" s="19"/>
      <c r="AE178" s="19"/>
      <c r="AF178" s="19">
        <v>2021</v>
      </c>
      <c r="AG178" s="19">
        <v>2021</v>
      </c>
    </row>
    <row r="179" spans="1:33" ht="84.9" hidden="1" customHeight="1" x14ac:dyDescent="0.45">
      <c r="A179" s="19">
        <v>161</v>
      </c>
      <c r="B179" s="19" t="s">
        <v>587</v>
      </c>
      <c r="C179" s="19" t="s">
        <v>753</v>
      </c>
      <c r="D179" s="19">
        <v>1979</v>
      </c>
      <c r="E179" s="19">
        <v>9</v>
      </c>
      <c r="F179" s="19">
        <v>1</v>
      </c>
      <c r="G179" s="23">
        <v>2130</v>
      </c>
      <c r="H179" s="23">
        <v>1185.5999999999999</v>
      </c>
      <c r="I179" s="19" t="s">
        <v>364</v>
      </c>
      <c r="J179" s="19" t="s">
        <v>364</v>
      </c>
      <c r="K179" s="19" t="s">
        <v>365</v>
      </c>
      <c r="L179" s="19" t="s">
        <v>366</v>
      </c>
      <c r="M179" s="19"/>
      <c r="N179" s="28"/>
      <c r="O179" s="28"/>
      <c r="P179" s="28"/>
      <c r="Q179" s="28"/>
      <c r="R179" s="28">
        <v>961324.71</v>
      </c>
      <c r="S179" s="28"/>
      <c r="T179" s="30"/>
      <c r="U179" s="28"/>
      <c r="V179" s="28"/>
      <c r="W179" s="28"/>
      <c r="X179" s="28"/>
      <c r="Y179" s="28"/>
      <c r="Z179" s="28">
        <v>55000</v>
      </c>
      <c r="AA179" s="28">
        <f>N179+O179+P179+Q179+R179+S179+T179+U179+V179+W179+X179+Y179+Z179</f>
        <v>1016324.71</v>
      </c>
      <c r="AB179" s="28"/>
      <c r="AC179" s="28"/>
      <c r="AD179" s="28">
        <f>SUM(N179:Z179)</f>
        <v>1016324.71</v>
      </c>
      <c r="AE179" s="37"/>
      <c r="AF179" s="19">
        <v>2020</v>
      </c>
      <c r="AG179" s="19">
        <v>2022</v>
      </c>
    </row>
    <row r="180" spans="1:33" ht="84.9" hidden="1" customHeight="1" x14ac:dyDescent="0.45">
      <c r="A180" s="19">
        <v>162</v>
      </c>
      <c r="B180" s="19" t="s">
        <v>587</v>
      </c>
      <c r="C180" s="19" t="s">
        <v>754</v>
      </c>
      <c r="D180" s="19">
        <v>1969</v>
      </c>
      <c r="E180" s="19">
        <v>5</v>
      </c>
      <c r="F180" s="19">
        <v>6</v>
      </c>
      <c r="G180" s="23">
        <v>4675</v>
      </c>
      <c r="H180" s="23">
        <v>4575.8999999999996</v>
      </c>
      <c r="I180" s="23" t="s">
        <v>364</v>
      </c>
      <c r="J180" s="19" t="s">
        <v>364</v>
      </c>
      <c r="K180" s="19" t="s">
        <v>365</v>
      </c>
      <c r="L180" s="19" t="s">
        <v>366</v>
      </c>
      <c r="M180" s="19"/>
      <c r="N180" s="28"/>
      <c r="O180" s="28"/>
      <c r="P180" s="28"/>
      <c r="Q180" s="28"/>
      <c r="R180" s="28">
        <v>961324.71</v>
      </c>
      <c r="S180" s="28"/>
      <c r="T180" s="30"/>
      <c r="U180" s="28"/>
      <c r="V180" s="28"/>
      <c r="W180" s="28"/>
      <c r="X180" s="28"/>
      <c r="Y180" s="28"/>
      <c r="Z180" s="28">
        <v>55000</v>
      </c>
      <c r="AA180" s="28">
        <f>N180+O180+P180+Q180+R180+S180+T180+U180+V180+W180+X180+Y180+Z180</f>
        <v>1016324.71</v>
      </c>
      <c r="AB180" s="28"/>
      <c r="AC180" s="28"/>
      <c r="AD180" s="28">
        <f>SUM(N180:Z180)</f>
        <v>1016324.71</v>
      </c>
      <c r="AE180" s="37"/>
      <c r="AF180" s="19">
        <v>2020</v>
      </c>
      <c r="AG180" s="19">
        <v>2022</v>
      </c>
    </row>
    <row r="181" spans="1:33" ht="84.9" hidden="1" customHeight="1" x14ac:dyDescent="0.45">
      <c r="A181" s="19">
        <v>163</v>
      </c>
      <c r="B181" s="19" t="s">
        <v>587</v>
      </c>
      <c r="C181" s="19" t="s">
        <v>755</v>
      </c>
      <c r="D181" s="19">
        <v>1968</v>
      </c>
      <c r="E181" s="19">
        <v>5</v>
      </c>
      <c r="F181" s="19">
        <v>4</v>
      </c>
      <c r="G181" s="23">
        <v>3572.2</v>
      </c>
      <c r="H181" s="23">
        <v>3555</v>
      </c>
      <c r="I181" s="23">
        <v>3409.7</v>
      </c>
      <c r="J181" s="19">
        <v>156</v>
      </c>
      <c r="K181" s="19" t="s">
        <v>365</v>
      </c>
      <c r="L181" s="19" t="s">
        <v>366</v>
      </c>
      <c r="M181" s="19"/>
      <c r="N181" s="28"/>
      <c r="O181" s="28" t="s">
        <v>740</v>
      </c>
      <c r="P181" s="28"/>
      <c r="Q181" s="28"/>
      <c r="R181" s="28"/>
      <c r="S181" s="28"/>
      <c r="T181" s="30"/>
      <c r="U181" s="28"/>
      <c r="V181" s="28"/>
      <c r="W181" s="28"/>
      <c r="X181" s="28"/>
      <c r="Y181" s="28"/>
      <c r="Z181" s="28">
        <v>150069.07</v>
      </c>
      <c r="AA181" s="28">
        <v>2501151.2400000002</v>
      </c>
      <c r="AB181" s="28">
        <v>2501151.2400000002</v>
      </c>
      <c r="AC181" s="28"/>
      <c r="AD181" s="28"/>
      <c r="AE181" s="37"/>
      <c r="AF181" s="19">
        <v>2021</v>
      </c>
      <c r="AG181" s="19">
        <v>2021</v>
      </c>
    </row>
    <row r="182" spans="1:33" ht="84.9" hidden="1" customHeight="1" x14ac:dyDescent="0.45">
      <c r="A182" s="19">
        <v>164</v>
      </c>
      <c r="B182" s="19" t="s">
        <v>587</v>
      </c>
      <c r="C182" s="19" t="s">
        <v>756</v>
      </c>
      <c r="D182" s="19">
        <v>1967</v>
      </c>
      <c r="E182" s="19">
        <v>5</v>
      </c>
      <c r="F182" s="19">
        <v>6</v>
      </c>
      <c r="G182" s="23">
        <v>4929.8999999999996</v>
      </c>
      <c r="H182" s="23">
        <v>4912.7</v>
      </c>
      <c r="I182" s="23">
        <v>4680.8999999999996</v>
      </c>
      <c r="J182" s="19">
        <v>209</v>
      </c>
      <c r="K182" s="19" t="s">
        <v>365</v>
      </c>
      <c r="L182" s="19" t="s">
        <v>366</v>
      </c>
      <c r="M182" s="19"/>
      <c r="N182" s="28"/>
      <c r="O182" s="28" t="s">
        <v>740</v>
      </c>
      <c r="P182" s="28"/>
      <c r="Q182" s="28"/>
      <c r="R182" s="28"/>
      <c r="S182" s="28"/>
      <c r="T182" s="30"/>
      <c r="U182" s="28"/>
      <c r="V182" s="28"/>
      <c r="W182" s="28"/>
      <c r="X182" s="28"/>
      <c r="Y182" s="28"/>
      <c r="Z182" s="28">
        <v>150069.07</v>
      </c>
      <c r="AA182" s="28">
        <v>2501151.2400000002</v>
      </c>
      <c r="AB182" s="28">
        <v>2501151.2400000002</v>
      </c>
      <c r="AC182" s="28"/>
      <c r="AD182" s="28"/>
      <c r="AE182" s="37"/>
      <c r="AF182" s="19">
        <v>2021</v>
      </c>
      <c r="AG182" s="19">
        <v>2021</v>
      </c>
    </row>
    <row r="183" spans="1:33" ht="84.9" hidden="1" customHeight="1" x14ac:dyDescent="0.45">
      <c r="A183" s="19">
        <v>165</v>
      </c>
      <c r="B183" s="19" t="s">
        <v>587</v>
      </c>
      <c r="C183" s="19" t="s">
        <v>757</v>
      </c>
      <c r="D183" s="19">
        <v>1968</v>
      </c>
      <c r="E183" s="19">
        <v>5</v>
      </c>
      <c r="F183" s="19">
        <v>4</v>
      </c>
      <c r="G183" s="23">
        <v>2691.9</v>
      </c>
      <c r="H183" s="23">
        <v>2662.5</v>
      </c>
      <c r="I183" s="23">
        <v>2662.5</v>
      </c>
      <c r="J183" s="19">
        <v>126</v>
      </c>
      <c r="K183" s="19" t="s">
        <v>365</v>
      </c>
      <c r="L183" s="19" t="s">
        <v>366</v>
      </c>
      <c r="M183" s="19"/>
      <c r="N183" s="28"/>
      <c r="O183" s="28" t="s">
        <v>740</v>
      </c>
      <c r="P183" s="28"/>
      <c r="Q183" s="28"/>
      <c r="R183" s="28"/>
      <c r="S183" s="28"/>
      <c r="T183" s="30"/>
      <c r="U183" s="28"/>
      <c r="V183" s="28"/>
      <c r="W183" s="28"/>
      <c r="X183" s="28"/>
      <c r="Y183" s="28"/>
      <c r="Z183" s="28">
        <v>150069.07</v>
      </c>
      <c r="AA183" s="28">
        <v>2501151.2400000002</v>
      </c>
      <c r="AB183" s="28">
        <v>2501151.2400000002</v>
      </c>
      <c r="AC183" s="28"/>
      <c r="AD183" s="28"/>
      <c r="AE183" s="37"/>
      <c r="AF183" s="19">
        <v>2021</v>
      </c>
      <c r="AG183" s="19">
        <v>2021</v>
      </c>
    </row>
    <row r="184" spans="1:33" ht="84.9" hidden="1" customHeight="1" x14ac:dyDescent="0.45">
      <c r="A184" s="19">
        <v>166</v>
      </c>
      <c r="B184" s="19" t="s">
        <v>587</v>
      </c>
      <c r="C184" s="19" t="s">
        <v>758</v>
      </c>
      <c r="D184" s="19">
        <v>1968</v>
      </c>
      <c r="E184" s="19">
        <v>5</v>
      </c>
      <c r="F184" s="19">
        <v>4</v>
      </c>
      <c r="G184" s="23">
        <v>3185</v>
      </c>
      <c r="H184" s="23">
        <v>3141.7</v>
      </c>
      <c r="I184" s="23">
        <v>2894</v>
      </c>
      <c r="J184" s="19">
        <v>153</v>
      </c>
      <c r="K184" s="19" t="s">
        <v>365</v>
      </c>
      <c r="L184" s="19" t="s">
        <v>366</v>
      </c>
      <c r="M184" s="19"/>
      <c r="N184" s="28"/>
      <c r="O184" s="28" t="s">
        <v>740</v>
      </c>
      <c r="P184" s="28"/>
      <c r="Q184" s="28"/>
      <c r="R184" s="28"/>
      <c r="S184" s="28"/>
      <c r="T184" s="30"/>
      <c r="U184" s="28"/>
      <c r="V184" s="28"/>
      <c r="W184" s="28"/>
      <c r="X184" s="28"/>
      <c r="Y184" s="28"/>
      <c r="Z184" s="28">
        <v>150069.07</v>
      </c>
      <c r="AA184" s="28">
        <v>2501151.2400000002</v>
      </c>
      <c r="AB184" s="28">
        <v>2501151.2400000002</v>
      </c>
      <c r="AC184" s="28"/>
      <c r="AD184" s="28"/>
      <c r="AE184" s="37"/>
      <c r="AF184" s="19">
        <v>2021</v>
      </c>
      <c r="AG184" s="19">
        <v>2021</v>
      </c>
    </row>
    <row r="185" spans="1:33" ht="84.9" hidden="1" customHeight="1" x14ac:dyDescent="0.45">
      <c r="A185" s="19">
        <v>167</v>
      </c>
      <c r="B185" s="19" t="s">
        <v>587</v>
      </c>
      <c r="C185" s="19" t="s">
        <v>759</v>
      </c>
      <c r="D185" s="19">
        <v>1969</v>
      </c>
      <c r="E185" s="19">
        <v>5</v>
      </c>
      <c r="F185" s="19">
        <v>4</v>
      </c>
      <c r="G185" s="23">
        <v>2722.1</v>
      </c>
      <c r="H185" s="23">
        <v>2692.5</v>
      </c>
      <c r="I185" s="23">
        <v>2692.5</v>
      </c>
      <c r="J185" s="19">
        <v>136</v>
      </c>
      <c r="K185" s="19" t="s">
        <v>365</v>
      </c>
      <c r="L185" s="19" t="s">
        <v>366</v>
      </c>
      <c r="M185" s="19"/>
      <c r="N185" s="28"/>
      <c r="O185" s="28" t="s">
        <v>740</v>
      </c>
      <c r="P185" s="28"/>
      <c r="Q185" s="28"/>
      <c r="R185" s="28"/>
      <c r="S185" s="28"/>
      <c r="T185" s="30"/>
      <c r="U185" s="28"/>
      <c r="V185" s="28"/>
      <c r="W185" s="28"/>
      <c r="X185" s="28"/>
      <c r="Y185" s="28"/>
      <c r="Z185" s="28">
        <v>150069.07</v>
      </c>
      <c r="AA185" s="28">
        <v>2501151.2400000002</v>
      </c>
      <c r="AB185" s="28">
        <v>2501151.2400000002</v>
      </c>
      <c r="AC185" s="28"/>
      <c r="AD185" s="28"/>
      <c r="AE185" s="37"/>
      <c r="AF185" s="19">
        <v>2021</v>
      </c>
      <c r="AG185" s="19">
        <v>2021</v>
      </c>
    </row>
    <row r="186" spans="1:33" ht="84.9" hidden="1" customHeight="1" x14ac:dyDescent="0.45">
      <c r="A186" s="19">
        <v>168</v>
      </c>
      <c r="B186" s="19" t="s">
        <v>587</v>
      </c>
      <c r="C186" s="19" t="s">
        <v>398</v>
      </c>
      <c r="D186" s="19">
        <v>1968</v>
      </c>
      <c r="E186" s="19">
        <v>5</v>
      </c>
      <c r="F186" s="19">
        <v>4</v>
      </c>
      <c r="G186" s="23">
        <v>3032.3</v>
      </c>
      <c r="H186" s="23">
        <v>3004.5</v>
      </c>
      <c r="I186" s="23">
        <v>2880.1</v>
      </c>
      <c r="J186" s="19">
        <v>158</v>
      </c>
      <c r="K186" s="19" t="s">
        <v>365</v>
      </c>
      <c r="L186" s="19" t="s">
        <v>366</v>
      </c>
      <c r="M186" s="19"/>
      <c r="N186" s="28"/>
      <c r="O186" s="28" t="s">
        <v>740</v>
      </c>
      <c r="P186" s="28"/>
      <c r="Q186" s="28"/>
      <c r="R186" s="28"/>
      <c r="S186" s="28"/>
      <c r="T186" s="30"/>
      <c r="U186" s="28"/>
      <c r="V186" s="28"/>
      <c r="W186" s="28"/>
      <c r="X186" s="28"/>
      <c r="Y186" s="28"/>
      <c r="Z186" s="28">
        <v>150069.07</v>
      </c>
      <c r="AA186" s="28">
        <v>2501151.2400000002</v>
      </c>
      <c r="AB186" s="28">
        <v>2501151.2400000002</v>
      </c>
      <c r="AC186" s="28"/>
      <c r="AD186" s="28"/>
      <c r="AE186" s="37"/>
      <c r="AF186" s="19">
        <v>2021</v>
      </c>
      <c r="AG186" s="19">
        <v>2021</v>
      </c>
    </row>
    <row r="187" spans="1:33" ht="84.9" hidden="1" customHeight="1" x14ac:dyDescent="0.45">
      <c r="A187" s="19">
        <v>169</v>
      </c>
      <c r="B187" s="19" t="s">
        <v>587</v>
      </c>
      <c r="C187" s="19" t="s">
        <v>760</v>
      </c>
      <c r="D187" s="19">
        <v>1960</v>
      </c>
      <c r="E187" s="19">
        <v>2</v>
      </c>
      <c r="F187" s="19">
        <v>2</v>
      </c>
      <c r="G187" s="23">
        <v>675.7</v>
      </c>
      <c r="H187" s="23">
        <v>634.1</v>
      </c>
      <c r="I187" s="23">
        <v>376.4</v>
      </c>
      <c r="J187" s="19">
        <v>29</v>
      </c>
      <c r="K187" s="19" t="s">
        <v>371</v>
      </c>
      <c r="L187" s="19" t="s">
        <v>366</v>
      </c>
      <c r="M187" s="19"/>
      <c r="N187" s="28"/>
      <c r="O187" s="28"/>
      <c r="P187" s="28"/>
      <c r="Q187" s="28"/>
      <c r="R187" s="28"/>
      <c r="S187" s="28"/>
      <c r="T187" s="30"/>
      <c r="U187" s="28"/>
      <c r="V187" s="28">
        <v>5580893.4199999999</v>
      </c>
      <c r="W187" s="28"/>
      <c r="X187" s="28"/>
      <c r="Y187" s="28"/>
      <c r="Z187" s="28">
        <v>343505.71</v>
      </c>
      <c r="AA187" s="28">
        <f t="shared" ref="AA187:AA191" si="24">N187+O187+P187+Q187+R187+S187+T187+U187+V187+W187+X187+Y187+Z187</f>
        <v>5924399.1299999999</v>
      </c>
      <c r="AB187" s="28"/>
      <c r="AC187" s="28"/>
      <c r="AD187" s="28">
        <f>SUM(V187+Z187)</f>
        <v>5924399.1299999999</v>
      </c>
      <c r="AE187" s="37"/>
      <c r="AF187" s="19">
        <v>2021</v>
      </c>
      <c r="AG187" s="19">
        <v>2022</v>
      </c>
    </row>
    <row r="188" spans="1:33" ht="84.9" hidden="1" customHeight="1" x14ac:dyDescent="0.45">
      <c r="A188" s="19">
        <v>170</v>
      </c>
      <c r="B188" s="19" t="s">
        <v>587</v>
      </c>
      <c r="C188" s="19" t="s">
        <v>623</v>
      </c>
      <c r="D188" s="19">
        <v>1959</v>
      </c>
      <c r="E188" s="19">
        <v>6</v>
      </c>
      <c r="F188" s="19">
        <v>4</v>
      </c>
      <c r="G188" s="39" t="s">
        <v>761</v>
      </c>
      <c r="H188" s="23">
        <v>4410.6000000000004</v>
      </c>
      <c r="I188" s="23" t="s">
        <v>364</v>
      </c>
      <c r="J188" s="19" t="s">
        <v>364</v>
      </c>
      <c r="K188" s="19" t="s">
        <v>365</v>
      </c>
      <c r="L188" s="19" t="s">
        <v>366</v>
      </c>
      <c r="M188" s="19" t="s">
        <v>415</v>
      </c>
      <c r="N188" s="28"/>
      <c r="O188" s="28"/>
      <c r="P188" s="28"/>
      <c r="Q188" s="28"/>
      <c r="R188" s="28"/>
      <c r="S188" s="28"/>
      <c r="T188" s="30"/>
      <c r="U188" s="28"/>
      <c r="V188" s="28">
        <v>15031255.550000001</v>
      </c>
      <c r="W188" s="28"/>
      <c r="X188" s="28"/>
      <c r="Y188" s="28"/>
      <c r="Z188" s="28">
        <v>641542.80000000005</v>
      </c>
      <c r="AA188" s="28">
        <f t="shared" si="24"/>
        <v>15672798.350000001</v>
      </c>
      <c r="AB188" s="28"/>
      <c r="AC188" s="28"/>
      <c r="AD188" s="28">
        <f>SUM(N188:Z188)</f>
        <v>15672798.350000001</v>
      </c>
      <c r="AE188" s="37"/>
      <c r="AF188" s="19">
        <v>2020</v>
      </c>
      <c r="AG188" s="19">
        <v>2022</v>
      </c>
    </row>
    <row r="189" spans="1:33" ht="84.9" hidden="1" customHeight="1" x14ac:dyDescent="0.45">
      <c r="A189" s="19">
        <v>171</v>
      </c>
      <c r="B189" s="19" t="s">
        <v>587</v>
      </c>
      <c r="C189" s="19" t="s">
        <v>762</v>
      </c>
      <c r="D189" s="19">
        <v>1956</v>
      </c>
      <c r="E189" s="19">
        <v>4</v>
      </c>
      <c r="F189" s="19">
        <v>3</v>
      </c>
      <c r="G189" s="39">
        <v>3312.7</v>
      </c>
      <c r="H189" s="39">
        <v>3312.7</v>
      </c>
      <c r="I189" s="23">
        <v>2449.6</v>
      </c>
      <c r="J189" s="19">
        <v>76</v>
      </c>
      <c r="K189" s="19" t="s">
        <v>365</v>
      </c>
      <c r="L189" s="19" t="s">
        <v>366</v>
      </c>
      <c r="M189" s="19"/>
      <c r="N189" s="28"/>
      <c r="O189" s="28"/>
      <c r="P189" s="28"/>
      <c r="Q189" s="28"/>
      <c r="R189" s="28"/>
      <c r="S189" s="28"/>
      <c r="T189" s="30"/>
      <c r="U189" s="28"/>
      <c r="V189" s="28">
        <v>8950824.3399999999</v>
      </c>
      <c r="W189" s="28"/>
      <c r="X189" s="28"/>
      <c r="Y189" s="28"/>
      <c r="Z189" s="28">
        <v>1078807.81</v>
      </c>
      <c r="AA189" s="28">
        <f t="shared" si="24"/>
        <v>10029632.15</v>
      </c>
      <c r="AB189" s="28"/>
      <c r="AC189" s="28"/>
      <c r="AD189" s="28">
        <f t="shared" ref="AD189:AD191" si="25">AA189</f>
        <v>10029632.15</v>
      </c>
      <c r="AE189" s="37"/>
      <c r="AF189" s="19">
        <v>2021</v>
      </c>
      <c r="AG189" s="19">
        <v>2022</v>
      </c>
    </row>
    <row r="190" spans="1:33" ht="84.9" hidden="1" customHeight="1" x14ac:dyDescent="0.45">
      <c r="A190" s="19">
        <v>172</v>
      </c>
      <c r="B190" s="19" t="s">
        <v>587</v>
      </c>
      <c r="C190" s="19" t="s">
        <v>763</v>
      </c>
      <c r="D190" s="19">
        <v>1960</v>
      </c>
      <c r="E190" s="19">
        <v>9</v>
      </c>
      <c r="F190" s="19">
        <v>1</v>
      </c>
      <c r="G190" s="39">
        <v>2756.7</v>
      </c>
      <c r="H190" s="23">
        <v>2215.8000000000002</v>
      </c>
      <c r="I190" s="23">
        <v>1539.5</v>
      </c>
      <c r="J190" s="19">
        <v>62</v>
      </c>
      <c r="K190" s="19" t="s">
        <v>365</v>
      </c>
      <c r="L190" s="19" t="s">
        <v>366</v>
      </c>
      <c r="M190" s="19"/>
      <c r="N190" s="28"/>
      <c r="O190" s="28"/>
      <c r="P190" s="28"/>
      <c r="Q190" s="28"/>
      <c r="R190" s="28"/>
      <c r="S190" s="28"/>
      <c r="T190" s="30"/>
      <c r="U190" s="28"/>
      <c r="V190" s="28">
        <v>9528814.7899999991</v>
      </c>
      <c r="W190" s="28"/>
      <c r="X190" s="28"/>
      <c r="Y190" s="28"/>
      <c r="Z190" s="28">
        <v>884474.28</v>
      </c>
      <c r="AA190" s="28">
        <f t="shared" si="24"/>
        <v>10413289.069999998</v>
      </c>
      <c r="AB190" s="28"/>
      <c r="AC190" s="28"/>
      <c r="AD190" s="28">
        <f t="shared" si="25"/>
        <v>10413289.069999998</v>
      </c>
      <c r="AE190" s="37"/>
      <c r="AF190" s="19">
        <v>2021</v>
      </c>
      <c r="AG190" s="19">
        <v>2022</v>
      </c>
    </row>
    <row r="191" spans="1:33" ht="84.9" hidden="1" customHeight="1" x14ac:dyDescent="0.45">
      <c r="A191" s="19">
        <v>173</v>
      </c>
      <c r="B191" s="19" t="s">
        <v>587</v>
      </c>
      <c r="C191" s="19" t="s">
        <v>764</v>
      </c>
      <c r="D191" s="19">
        <v>1960</v>
      </c>
      <c r="E191" s="19">
        <v>4</v>
      </c>
      <c r="F191" s="19">
        <v>3</v>
      </c>
      <c r="G191" s="39">
        <v>2707.4</v>
      </c>
      <c r="H191" s="23">
        <v>2281.5</v>
      </c>
      <c r="I191" s="23">
        <v>1278.5</v>
      </c>
      <c r="J191" s="19">
        <v>62</v>
      </c>
      <c r="K191" s="19" t="s">
        <v>365</v>
      </c>
      <c r="L191" s="19" t="s">
        <v>366</v>
      </c>
      <c r="M191" s="19"/>
      <c r="N191" s="28"/>
      <c r="O191" s="28"/>
      <c r="P191" s="28"/>
      <c r="Q191" s="28"/>
      <c r="R191" s="28"/>
      <c r="S191" s="28"/>
      <c r="T191" s="30"/>
      <c r="U191" s="28"/>
      <c r="V191" s="28">
        <v>8420999.7599999998</v>
      </c>
      <c r="W191" s="28"/>
      <c r="X191" s="28"/>
      <c r="Y191" s="28"/>
      <c r="Z191" s="28">
        <v>876232.39</v>
      </c>
      <c r="AA191" s="28">
        <f t="shared" si="24"/>
        <v>9297232.1500000004</v>
      </c>
      <c r="AB191" s="28"/>
      <c r="AC191" s="28"/>
      <c r="AD191" s="28">
        <f t="shared" si="25"/>
        <v>9297232.1500000004</v>
      </c>
      <c r="AE191" s="37"/>
      <c r="AF191" s="19">
        <v>2021</v>
      </c>
      <c r="AG191" s="19">
        <v>2022</v>
      </c>
    </row>
    <row r="192" spans="1:33" ht="84.9" hidden="1" customHeight="1" x14ac:dyDescent="0.45">
      <c r="A192" s="19">
        <v>174</v>
      </c>
      <c r="B192" s="19" t="s">
        <v>587</v>
      </c>
      <c r="C192" s="19" t="s">
        <v>765</v>
      </c>
      <c r="D192" s="19">
        <v>1983</v>
      </c>
      <c r="E192" s="19">
        <v>9</v>
      </c>
      <c r="F192" s="19">
        <v>2</v>
      </c>
      <c r="G192" s="19">
        <v>4460</v>
      </c>
      <c r="H192" s="19">
        <v>3865.4</v>
      </c>
      <c r="I192" s="19">
        <v>3818.5</v>
      </c>
      <c r="J192" s="19">
        <v>168</v>
      </c>
      <c r="K192" s="19" t="s">
        <v>460</v>
      </c>
      <c r="L192" s="19" t="s">
        <v>366</v>
      </c>
      <c r="M192" s="19"/>
      <c r="N192" s="28"/>
      <c r="O192" s="28"/>
      <c r="P192" s="28"/>
      <c r="Q192" s="28"/>
      <c r="R192" s="28">
        <f>ROUND(1197448.78*1.015,2)</f>
        <v>1215410.51</v>
      </c>
      <c r="S192" s="28"/>
      <c r="T192" s="28"/>
      <c r="U192" s="28"/>
      <c r="V192" s="28"/>
      <c r="W192" s="28"/>
      <c r="X192" s="28"/>
      <c r="Y192" s="28"/>
      <c r="Z192" s="28">
        <v>224000</v>
      </c>
      <c r="AA192" s="28">
        <f>R192+Z192</f>
        <v>1439410.51</v>
      </c>
      <c r="AB192" s="28">
        <f>AA192</f>
        <v>1439410.51</v>
      </c>
      <c r="AC192" s="28"/>
      <c r="AD192" s="28"/>
      <c r="AE192" s="37"/>
      <c r="AF192" s="19">
        <v>2021</v>
      </c>
      <c r="AG192" s="19">
        <v>2022</v>
      </c>
    </row>
    <row r="193" spans="1:33" ht="84.9" hidden="1" customHeight="1" x14ac:dyDescent="0.45">
      <c r="A193" s="19">
        <v>175</v>
      </c>
      <c r="B193" s="19" t="s">
        <v>587</v>
      </c>
      <c r="C193" s="19" t="s">
        <v>766</v>
      </c>
      <c r="D193" s="19">
        <v>1967</v>
      </c>
      <c r="E193" s="19">
        <v>6</v>
      </c>
      <c r="F193" s="19">
        <v>6</v>
      </c>
      <c r="G193" s="39">
        <v>5515.4</v>
      </c>
      <c r="H193" s="23">
        <v>5471.4</v>
      </c>
      <c r="I193" s="23">
        <v>4583.3999999999996</v>
      </c>
      <c r="J193" s="19">
        <v>217</v>
      </c>
      <c r="K193" s="19" t="s">
        <v>365</v>
      </c>
      <c r="L193" s="19" t="s">
        <v>366</v>
      </c>
      <c r="M193" s="19"/>
      <c r="N193" s="28"/>
      <c r="O193" s="28" t="s">
        <v>740</v>
      </c>
      <c r="P193" s="28"/>
      <c r="Q193" s="28"/>
      <c r="R193" s="28"/>
      <c r="S193" s="28"/>
      <c r="T193" s="30"/>
      <c r="U193" s="28"/>
      <c r="V193" s="28"/>
      <c r="W193" s="28"/>
      <c r="X193" s="28"/>
      <c r="Y193" s="28"/>
      <c r="Z193" s="28">
        <v>150069.07</v>
      </c>
      <c r="AA193" s="28">
        <v>2501151.2400000002</v>
      </c>
      <c r="AB193" s="28">
        <v>2501151.2400000002</v>
      </c>
      <c r="AC193" s="28"/>
      <c r="AD193" s="28"/>
      <c r="AE193" s="37"/>
      <c r="AF193" s="19">
        <v>2021</v>
      </c>
      <c r="AG193" s="19">
        <v>2021</v>
      </c>
    </row>
    <row r="194" spans="1:33" ht="111.75" hidden="1" customHeight="1" x14ac:dyDescent="0.45">
      <c r="A194" s="19">
        <v>176</v>
      </c>
      <c r="B194" s="19" t="s">
        <v>587</v>
      </c>
      <c r="C194" s="19" t="s">
        <v>767</v>
      </c>
      <c r="D194" s="19">
        <v>1967</v>
      </c>
      <c r="E194" s="19">
        <v>5</v>
      </c>
      <c r="F194" s="19">
        <v>6</v>
      </c>
      <c r="G194" s="39">
        <v>4491.6000000000004</v>
      </c>
      <c r="H194" s="23">
        <v>4461.1000000000004</v>
      </c>
      <c r="I194" s="23">
        <v>4400.8</v>
      </c>
      <c r="J194" s="19">
        <v>197</v>
      </c>
      <c r="K194" s="19" t="s">
        <v>365</v>
      </c>
      <c r="L194" s="19" t="s">
        <v>449</v>
      </c>
      <c r="M194" s="19"/>
      <c r="N194" s="28"/>
      <c r="O194" s="28" t="s">
        <v>740</v>
      </c>
      <c r="P194" s="28"/>
      <c r="Q194" s="28"/>
      <c r="R194" s="28"/>
      <c r="S194" s="28"/>
      <c r="T194" s="30"/>
      <c r="U194" s="28"/>
      <c r="V194" s="28"/>
      <c r="W194" s="28"/>
      <c r="X194" s="28"/>
      <c r="Y194" s="28"/>
      <c r="Z194" s="28">
        <v>150069.07</v>
      </c>
      <c r="AA194" s="28">
        <v>2501151.2400000002</v>
      </c>
      <c r="AB194" s="28">
        <v>2501151.2400000002</v>
      </c>
      <c r="AC194" s="28"/>
      <c r="AD194" s="28"/>
      <c r="AE194" s="37"/>
      <c r="AF194" s="19">
        <v>2021</v>
      </c>
      <c r="AG194" s="19">
        <v>2021</v>
      </c>
    </row>
    <row r="195" spans="1:33" ht="84.75" hidden="1" customHeight="1" x14ac:dyDescent="0.45">
      <c r="A195" s="19">
        <v>177</v>
      </c>
      <c r="B195" s="19" t="s">
        <v>587</v>
      </c>
      <c r="C195" s="19" t="s">
        <v>768</v>
      </c>
      <c r="D195" s="19">
        <v>1967</v>
      </c>
      <c r="E195" s="19">
        <v>5</v>
      </c>
      <c r="F195" s="19">
        <v>6</v>
      </c>
      <c r="G195" s="39">
        <v>5107.7</v>
      </c>
      <c r="H195" s="23">
        <v>5091.5</v>
      </c>
      <c r="I195" s="23">
        <v>5091.5</v>
      </c>
      <c r="J195" s="19">
        <v>245</v>
      </c>
      <c r="K195" s="19" t="s">
        <v>365</v>
      </c>
      <c r="L195" s="19" t="s">
        <v>366</v>
      </c>
      <c r="M195" s="19"/>
      <c r="N195" s="28"/>
      <c r="O195" s="28" t="s">
        <v>740</v>
      </c>
      <c r="P195" s="28"/>
      <c r="Q195" s="28"/>
      <c r="R195" s="28"/>
      <c r="S195" s="28"/>
      <c r="T195" s="30"/>
      <c r="U195" s="28"/>
      <c r="V195" s="28"/>
      <c r="W195" s="28"/>
      <c r="X195" s="28"/>
      <c r="Y195" s="28"/>
      <c r="Z195" s="28">
        <v>150069.07</v>
      </c>
      <c r="AA195" s="28">
        <v>2501151.2400000002</v>
      </c>
      <c r="AB195" s="28">
        <v>2501151.2400000002</v>
      </c>
      <c r="AC195" s="28"/>
      <c r="AD195" s="28"/>
      <c r="AE195" s="37"/>
      <c r="AF195" s="19">
        <v>2021</v>
      </c>
      <c r="AG195" s="19">
        <v>2021</v>
      </c>
    </row>
    <row r="196" spans="1:33" ht="84.9" hidden="1" customHeight="1" x14ac:dyDescent="0.45">
      <c r="A196" s="19">
        <v>178</v>
      </c>
      <c r="B196" s="19" t="s">
        <v>587</v>
      </c>
      <c r="C196" s="19" t="s">
        <v>769</v>
      </c>
      <c r="D196" s="19">
        <v>1968</v>
      </c>
      <c r="E196" s="19">
        <v>5</v>
      </c>
      <c r="F196" s="19">
        <v>6</v>
      </c>
      <c r="G196" s="39">
        <v>3917.5</v>
      </c>
      <c r="H196" s="23">
        <v>2698.8</v>
      </c>
      <c r="I196" s="23">
        <v>2675</v>
      </c>
      <c r="J196" s="19">
        <v>165</v>
      </c>
      <c r="K196" s="19" t="s">
        <v>365</v>
      </c>
      <c r="L196" s="19" t="s">
        <v>366</v>
      </c>
      <c r="M196" s="19"/>
      <c r="N196" s="28"/>
      <c r="O196" s="28" t="s">
        <v>740</v>
      </c>
      <c r="P196" s="28"/>
      <c r="Q196" s="28"/>
      <c r="R196" s="28"/>
      <c r="S196" s="28"/>
      <c r="T196" s="30"/>
      <c r="U196" s="28"/>
      <c r="V196" s="28"/>
      <c r="W196" s="28"/>
      <c r="X196" s="28"/>
      <c r="Y196" s="28"/>
      <c r="Z196" s="28">
        <v>150069.07</v>
      </c>
      <c r="AA196" s="28">
        <v>2501151.2400000002</v>
      </c>
      <c r="AB196" s="28">
        <v>2501151.2400000002</v>
      </c>
      <c r="AC196" s="28"/>
      <c r="AD196" s="28"/>
      <c r="AE196" s="37"/>
      <c r="AF196" s="19">
        <v>2021</v>
      </c>
      <c r="AG196" s="19">
        <v>2021</v>
      </c>
    </row>
    <row r="197" spans="1:33" ht="84.9" hidden="1" customHeight="1" x14ac:dyDescent="0.45">
      <c r="A197" s="19">
        <v>179</v>
      </c>
      <c r="B197" s="19" t="s">
        <v>587</v>
      </c>
      <c r="C197" s="19" t="s">
        <v>770</v>
      </c>
      <c r="D197" s="19">
        <v>1967</v>
      </c>
      <c r="E197" s="19">
        <v>5</v>
      </c>
      <c r="F197" s="19">
        <v>6</v>
      </c>
      <c r="G197" s="39">
        <v>4398.2</v>
      </c>
      <c r="H197" s="23">
        <v>3076</v>
      </c>
      <c r="I197" s="23">
        <v>3062.1</v>
      </c>
      <c r="J197" s="19">
        <v>215</v>
      </c>
      <c r="K197" s="19" t="s">
        <v>365</v>
      </c>
      <c r="L197" s="19" t="s">
        <v>366</v>
      </c>
      <c r="M197" s="19"/>
      <c r="N197" s="28"/>
      <c r="O197" s="28" t="s">
        <v>740</v>
      </c>
      <c r="P197" s="28"/>
      <c r="Q197" s="28"/>
      <c r="R197" s="28"/>
      <c r="S197" s="28"/>
      <c r="T197" s="30"/>
      <c r="U197" s="28"/>
      <c r="V197" s="28"/>
      <c r="W197" s="28"/>
      <c r="X197" s="28"/>
      <c r="Y197" s="28"/>
      <c r="Z197" s="28">
        <v>150069.07</v>
      </c>
      <c r="AA197" s="28">
        <v>2501151.2400000002</v>
      </c>
      <c r="AB197" s="28">
        <v>2501151.2400000002</v>
      </c>
      <c r="AC197" s="28"/>
      <c r="AD197" s="28"/>
      <c r="AE197" s="37"/>
      <c r="AF197" s="19">
        <v>2021</v>
      </c>
      <c r="AG197" s="19">
        <v>2021</v>
      </c>
    </row>
    <row r="198" spans="1:33" ht="84.9" hidden="1" customHeight="1" x14ac:dyDescent="0.45">
      <c r="A198" s="19">
        <v>180</v>
      </c>
      <c r="B198" s="19" t="s">
        <v>587</v>
      </c>
      <c r="C198" s="19" t="s">
        <v>771</v>
      </c>
      <c r="D198" s="19">
        <v>1970</v>
      </c>
      <c r="E198" s="19">
        <v>9</v>
      </c>
      <c r="F198" s="19">
        <v>2</v>
      </c>
      <c r="G198" s="39">
        <v>4451.1000000000004</v>
      </c>
      <c r="H198" s="23">
        <v>3847.6</v>
      </c>
      <c r="I198" s="23">
        <v>3833.6</v>
      </c>
      <c r="J198" s="19">
        <v>159</v>
      </c>
      <c r="K198" s="19" t="s">
        <v>365</v>
      </c>
      <c r="L198" s="19" t="s">
        <v>366</v>
      </c>
      <c r="M198" s="19"/>
      <c r="N198" s="28"/>
      <c r="O198" s="28" t="s">
        <v>740</v>
      </c>
      <c r="P198" s="28"/>
      <c r="Q198" s="28"/>
      <c r="R198" s="28"/>
      <c r="S198" s="28"/>
      <c r="T198" s="30"/>
      <c r="U198" s="28"/>
      <c r="V198" s="28"/>
      <c r="W198" s="28"/>
      <c r="X198" s="28"/>
      <c r="Y198" s="28"/>
      <c r="Z198" s="28">
        <v>150069.07</v>
      </c>
      <c r="AA198" s="28">
        <v>2501151.2400000002</v>
      </c>
      <c r="AB198" s="28">
        <v>2501151.2400000002</v>
      </c>
      <c r="AC198" s="28"/>
      <c r="AD198" s="28"/>
      <c r="AE198" s="37"/>
      <c r="AF198" s="19">
        <v>2021</v>
      </c>
      <c r="AG198" s="19">
        <v>2021</v>
      </c>
    </row>
    <row r="199" spans="1:33" ht="84.9" hidden="1" customHeight="1" x14ac:dyDescent="0.45">
      <c r="A199" s="19">
        <v>181</v>
      </c>
      <c r="B199" s="19" t="s">
        <v>587</v>
      </c>
      <c r="C199" s="19" t="s">
        <v>772</v>
      </c>
      <c r="D199" s="19">
        <v>1970</v>
      </c>
      <c r="E199" s="19">
        <v>5</v>
      </c>
      <c r="F199" s="19">
        <v>4</v>
      </c>
      <c r="G199" s="39">
        <v>3289.8</v>
      </c>
      <c r="H199" s="23">
        <v>3244.7</v>
      </c>
      <c r="I199" s="23">
        <v>2716.9</v>
      </c>
      <c r="J199" s="19">
        <v>129</v>
      </c>
      <c r="K199" s="19" t="s">
        <v>365</v>
      </c>
      <c r="L199" s="19" t="s">
        <v>366</v>
      </c>
      <c r="M199" s="19"/>
      <c r="N199" s="28"/>
      <c r="O199" s="28"/>
      <c r="P199" s="28"/>
      <c r="Q199" s="28"/>
      <c r="R199" s="28"/>
      <c r="S199" s="28"/>
      <c r="T199" s="30"/>
      <c r="U199" s="28"/>
      <c r="V199" s="28">
        <v>12814350.859999999</v>
      </c>
      <c r="W199" s="28"/>
      <c r="X199" s="28"/>
      <c r="Y199" s="28"/>
      <c r="Z199" s="28">
        <v>1016488.86</v>
      </c>
      <c r="AA199" s="28">
        <f t="shared" ref="AA199:AA203" si="26">N199+O199+P199+Q199+R199+S199+T199+U199+V199+W199+X199+Y199+Z199</f>
        <v>13830839.719999999</v>
      </c>
      <c r="AB199" s="28"/>
      <c r="AC199" s="28"/>
      <c r="AD199" s="28">
        <f>AA199</f>
        <v>13830839.719999999</v>
      </c>
      <c r="AE199" s="37"/>
      <c r="AF199" s="19">
        <v>2021</v>
      </c>
      <c r="AG199" s="19">
        <v>2022</v>
      </c>
    </row>
    <row r="200" spans="1:33" ht="84.9" hidden="1" customHeight="1" x14ac:dyDescent="0.45">
      <c r="A200" s="19">
        <v>182</v>
      </c>
      <c r="B200" s="19" t="s">
        <v>587</v>
      </c>
      <c r="C200" s="19" t="s">
        <v>773</v>
      </c>
      <c r="D200" s="19">
        <v>1967</v>
      </c>
      <c r="E200" s="19">
        <v>5</v>
      </c>
      <c r="F200" s="19">
        <v>6</v>
      </c>
      <c r="G200" s="39">
        <v>4615.8999999999996</v>
      </c>
      <c r="H200" s="23">
        <v>4584.8999999999996</v>
      </c>
      <c r="I200" s="23">
        <v>4584.8999999999996</v>
      </c>
      <c r="J200" s="19">
        <v>199</v>
      </c>
      <c r="K200" s="19" t="s">
        <v>365</v>
      </c>
      <c r="L200" s="19" t="s">
        <v>366</v>
      </c>
      <c r="M200" s="19"/>
      <c r="N200" s="28"/>
      <c r="O200" s="28" t="s">
        <v>740</v>
      </c>
      <c r="P200" s="28"/>
      <c r="Q200" s="28"/>
      <c r="R200" s="28"/>
      <c r="S200" s="28"/>
      <c r="T200" s="30"/>
      <c r="U200" s="28"/>
      <c r="V200" s="28"/>
      <c r="W200" s="28"/>
      <c r="X200" s="28"/>
      <c r="Y200" s="28"/>
      <c r="Z200" s="28">
        <v>150069.07</v>
      </c>
      <c r="AA200" s="28">
        <v>2501151.2400000002</v>
      </c>
      <c r="AB200" s="28">
        <v>2501151.2400000002</v>
      </c>
      <c r="AC200" s="28"/>
      <c r="AD200" s="28"/>
      <c r="AE200" s="37"/>
      <c r="AF200" s="19">
        <v>2021</v>
      </c>
      <c r="AG200" s="19">
        <v>2021</v>
      </c>
    </row>
    <row r="201" spans="1:33" ht="113.25" hidden="1" customHeight="1" x14ac:dyDescent="0.45">
      <c r="A201" s="19">
        <v>183</v>
      </c>
      <c r="B201" s="19" t="s">
        <v>587</v>
      </c>
      <c r="C201" s="19" t="s">
        <v>774</v>
      </c>
      <c r="D201" s="19">
        <v>1965</v>
      </c>
      <c r="E201" s="19">
        <v>5</v>
      </c>
      <c r="F201" s="19">
        <v>4</v>
      </c>
      <c r="G201" s="39" t="s">
        <v>775</v>
      </c>
      <c r="H201" s="23">
        <v>2569.1999999999998</v>
      </c>
      <c r="I201" s="23" t="s">
        <v>364</v>
      </c>
      <c r="J201" s="19" t="s">
        <v>364</v>
      </c>
      <c r="K201" s="19" t="s">
        <v>365</v>
      </c>
      <c r="L201" s="19" t="s">
        <v>449</v>
      </c>
      <c r="M201" s="19"/>
      <c r="N201" s="28"/>
      <c r="O201" s="28"/>
      <c r="P201" s="28"/>
      <c r="Q201" s="28"/>
      <c r="R201" s="28">
        <v>961324.71</v>
      </c>
      <c r="S201" s="28"/>
      <c r="T201" s="30"/>
      <c r="U201" s="28"/>
      <c r="V201" s="28"/>
      <c r="W201" s="28"/>
      <c r="X201" s="30"/>
      <c r="Y201" s="30"/>
      <c r="Z201" s="28">
        <v>55000</v>
      </c>
      <c r="AA201" s="28">
        <f t="shared" si="26"/>
        <v>1016324.71</v>
      </c>
      <c r="AB201" s="28"/>
      <c r="AC201" s="28"/>
      <c r="AD201" s="28">
        <f t="shared" ref="AD201:AD205" si="27">SUM(N201:Z201)</f>
        <v>1016324.71</v>
      </c>
      <c r="AE201" s="37"/>
      <c r="AF201" s="19">
        <v>2020</v>
      </c>
      <c r="AG201" s="19">
        <v>2022</v>
      </c>
    </row>
    <row r="202" spans="1:33" ht="84.75" hidden="1" customHeight="1" x14ac:dyDescent="0.45">
      <c r="A202" s="19">
        <v>184</v>
      </c>
      <c r="B202" s="19" t="s">
        <v>587</v>
      </c>
      <c r="C202" s="19" t="s">
        <v>776</v>
      </c>
      <c r="D202" s="19">
        <v>1959</v>
      </c>
      <c r="E202" s="19">
        <v>5</v>
      </c>
      <c r="F202" s="19">
        <v>2</v>
      </c>
      <c r="G202" s="39">
        <v>1716.1</v>
      </c>
      <c r="H202" s="23">
        <v>1642.3</v>
      </c>
      <c r="I202" s="23">
        <v>1011.4</v>
      </c>
      <c r="J202" s="19">
        <v>36</v>
      </c>
      <c r="K202" s="19" t="s">
        <v>365</v>
      </c>
      <c r="L202" s="19" t="s">
        <v>366</v>
      </c>
      <c r="M202" s="19"/>
      <c r="N202" s="28"/>
      <c r="O202" s="28"/>
      <c r="P202" s="28"/>
      <c r="Q202" s="28"/>
      <c r="R202" s="28"/>
      <c r="S202" s="28"/>
      <c r="T202" s="30"/>
      <c r="U202" s="28"/>
      <c r="V202" s="28">
        <v>8668899.7400000002</v>
      </c>
      <c r="W202" s="28"/>
      <c r="X202" s="68">
        <v>7725374.1799999997</v>
      </c>
      <c r="Y202" s="30"/>
      <c r="Z202" s="28">
        <v>24000</v>
      </c>
      <c r="AA202" s="28">
        <f t="shared" si="26"/>
        <v>16418273.92</v>
      </c>
      <c r="AB202" s="28"/>
      <c r="AC202" s="28"/>
      <c r="AD202" s="28">
        <v>16418273.92</v>
      </c>
      <c r="AE202" s="37"/>
      <c r="AF202" s="19">
        <v>2021</v>
      </c>
      <c r="AG202" s="19">
        <v>2022</v>
      </c>
    </row>
    <row r="203" spans="1:33" ht="113.25" hidden="1" customHeight="1" x14ac:dyDescent="0.45">
      <c r="A203" s="19">
        <v>185</v>
      </c>
      <c r="B203" s="19" t="s">
        <v>587</v>
      </c>
      <c r="C203" s="19" t="s">
        <v>777</v>
      </c>
      <c r="D203" s="19">
        <v>1960</v>
      </c>
      <c r="E203" s="19">
        <v>5</v>
      </c>
      <c r="F203" s="19">
        <v>4</v>
      </c>
      <c r="G203" s="39">
        <v>3484.9</v>
      </c>
      <c r="H203" s="23">
        <v>3127.2</v>
      </c>
      <c r="I203" s="23">
        <v>2310.4</v>
      </c>
      <c r="J203" s="19">
        <v>63</v>
      </c>
      <c r="K203" s="19" t="s">
        <v>365</v>
      </c>
      <c r="L203" s="19" t="s">
        <v>366</v>
      </c>
      <c r="M203" s="19"/>
      <c r="N203" s="28"/>
      <c r="O203" s="28"/>
      <c r="P203" s="28"/>
      <c r="Q203" s="28"/>
      <c r="R203" s="28"/>
      <c r="S203" s="28"/>
      <c r="T203" s="30"/>
      <c r="U203" s="28"/>
      <c r="V203" s="28">
        <v>13596171.82</v>
      </c>
      <c r="W203" s="28"/>
      <c r="X203" s="68">
        <v>12116360.529999999</v>
      </c>
      <c r="Y203" s="30"/>
      <c r="Z203" s="28">
        <v>24000</v>
      </c>
      <c r="AA203" s="28">
        <f t="shared" si="26"/>
        <v>25736532.350000001</v>
      </c>
      <c r="AB203" s="28"/>
      <c r="AC203" s="28"/>
      <c r="AD203" s="28">
        <v>25736532.350000001</v>
      </c>
      <c r="AE203" s="37"/>
      <c r="AF203" s="19">
        <v>2021</v>
      </c>
      <c r="AG203" s="19">
        <v>2022</v>
      </c>
    </row>
    <row r="204" spans="1:33" ht="84.9" hidden="1" customHeight="1" x14ac:dyDescent="0.45">
      <c r="A204" s="19">
        <v>186</v>
      </c>
      <c r="B204" s="19" t="s">
        <v>587</v>
      </c>
      <c r="C204" s="19" t="s">
        <v>778</v>
      </c>
      <c r="D204" s="43">
        <v>1967</v>
      </c>
      <c r="E204" s="19">
        <v>5</v>
      </c>
      <c r="F204" s="19">
        <v>4</v>
      </c>
      <c r="G204" s="39">
        <v>3363.7</v>
      </c>
      <c r="H204" s="23">
        <v>3249.5</v>
      </c>
      <c r="I204" s="23" t="s">
        <v>364</v>
      </c>
      <c r="J204" s="19" t="s">
        <v>364</v>
      </c>
      <c r="K204" s="19" t="s">
        <v>365</v>
      </c>
      <c r="L204" s="19" t="s">
        <v>366</v>
      </c>
      <c r="M204" s="19"/>
      <c r="N204" s="28"/>
      <c r="O204" s="28"/>
      <c r="P204" s="28"/>
      <c r="Q204" s="28"/>
      <c r="R204" s="28">
        <v>961324.71</v>
      </c>
      <c r="S204" s="28"/>
      <c r="T204" s="30"/>
      <c r="U204" s="28"/>
      <c r="V204" s="94"/>
      <c r="W204" s="28"/>
      <c r="X204" s="28"/>
      <c r="Y204" s="28"/>
      <c r="Z204" s="28">
        <v>55000</v>
      </c>
      <c r="AA204" s="28">
        <f t="shared" ref="AA204:AA207" si="28">SUM(N204:Z204)</f>
        <v>1016324.71</v>
      </c>
      <c r="AB204" s="28"/>
      <c r="AC204" s="28"/>
      <c r="AD204" s="28">
        <f t="shared" si="27"/>
        <v>1016324.71</v>
      </c>
      <c r="AE204" s="37"/>
      <c r="AF204" s="19">
        <v>2020</v>
      </c>
      <c r="AG204" s="19">
        <v>2022</v>
      </c>
    </row>
    <row r="205" spans="1:33" ht="84.9" hidden="1" customHeight="1" x14ac:dyDescent="0.45">
      <c r="A205" s="19">
        <v>187</v>
      </c>
      <c r="B205" s="19" t="s">
        <v>587</v>
      </c>
      <c r="C205" s="19" t="s">
        <v>779</v>
      </c>
      <c r="D205" s="43">
        <v>1964</v>
      </c>
      <c r="E205" s="19">
        <v>5</v>
      </c>
      <c r="F205" s="19">
        <v>3</v>
      </c>
      <c r="G205" s="39">
        <v>2601.3000000000002</v>
      </c>
      <c r="H205" s="23">
        <v>2499.5</v>
      </c>
      <c r="I205" s="23" t="s">
        <v>364</v>
      </c>
      <c r="J205" s="19" t="s">
        <v>364</v>
      </c>
      <c r="K205" s="19" t="s">
        <v>365</v>
      </c>
      <c r="L205" s="19" t="s">
        <v>366</v>
      </c>
      <c r="M205" s="19"/>
      <c r="N205" s="28"/>
      <c r="O205" s="28"/>
      <c r="P205" s="28"/>
      <c r="Q205" s="28"/>
      <c r="R205" s="28">
        <v>961324.71</v>
      </c>
      <c r="S205" s="28"/>
      <c r="T205" s="30"/>
      <c r="U205" s="28"/>
      <c r="V205" s="94"/>
      <c r="W205" s="28"/>
      <c r="X205" s="28"/>
      <c r="Y205" s="28"/>
      <c r="Z205" s="28">
        <v>55000</v>
      </c>
      <c r="AA205" s="28">
        <f t="shared" si="28"/>
        <v>1016324.71</v>
      </c>
      <c r="AB205" s="28"/>
      <c r="AC205" s="28"/>
      <c r="AD205" s="28">
        <f t="shared" si="27"/>
        <v>1016324.71</v>
      </c>
      <c r="AE205" s="37"/>
      <c r="AF205" s="19">
        <v>2020</v>
      </c>
      <c r="AG205" s="19">
        <v>2022</v>
      </c>
    </row>
    <row r="206" spans="1:33" ht="84.9" hidden="1" customHeight="1" x14ac:dyDescent="0.45">
      <c r="A206" s="19">
        <v>188</v>
      </c>
      <c r="B206" s="19" t="s">
        <v>587</v>
      </c>
      <c r="C206" s="19" t="s">
        <v>780</v>
      </c>
      <c r="D206" s="19">
        <v>1962</v>
      </c>
      <c r="E206" s="19">
        <v>5</v>
      </c>
      <c r="F206" s="19">
        <v>3</v>
      </c>
      <c r="G206" s="23">
        <v>2210.6999999999998</v>
      </c>
      <c r="H206" s="23">
        <f>1922.4+125.7</f>
        <v>2048.1</v>
      </c>
      <c r="I206" s="23">
        <v>1922.4</v>
      </c>
      <c r="J206" s="19">
        <v>60</v>
      </c>
      <c r="K206" s="19" t="s">
        <v>365</v>
      </c>
      <c r="L206" s="19" t="s">
        <v>366</v>
      </c>
      <c r="M206" s="19"/>
      <c r="N206" s="28"/>
      <c r="O206" s="28"/>
      <c r="P206" s="28"/>
      <c r="Q206" s="28"/>
      <c r="R206" s="28">
        <f>1197448.78*1.015</f>
        <v>1215410.5116999999</v>
      </c>
      <c r="S206" s="28"/>
      <c r="T206" s="28"/>
      <c r="U206" s="28"/>
      <c r="V206" s="28"/>
      <c r="W206" s="28"/>
      <c r="X206" s="28"/>
      <c r="Y206" s="28"/>
      <c r="Z206" s="28">
        <v>224000</v>
      </c>
      <c r="AA206" s="28">
        <f>R206+Z206</f>
        <v>1439410.5116999999</v>
      </c>
      <c r="AB206" s="28">
        <f>AA206</f>
        <v>1439410.5116999999</v>
      </c>
      <c r="AC206" s="28"/>
      <c r="AD206" s="28"/>
      <c r="AE206" s="37"/>
      <c r="AF206" s="19">
        <v>2021</v>
      </c>
      <c r="AG206" s="19">
        <v>2022</v>
      </c>
    </row>
    <row r="207" spans="1:33" ht="84.9" hidden="1" customHeight="1" x14ac:dyDescent="0.45">
      <c r="A207" s="19">
        <v>189</v>
      </c>
      <c r="B207" s="19" t="s">
        <v>587</v>
      </c>
      <c r="C207" s="19" t="s">
        <v>781</v>
      </c>
      <c r="D207" s="43">
        <v>1962</v>
      </c>
      <c r="E207" s="19">
        <v>5</v>
      </c>
      <c r="F207" s="19">
        <v>4</v>
      </c>
      <c r="G207" s="39">
        <v>3176.7</v>
      </c>
      <c r="H207" s="23">
        <v>3176.7</v>
      </c>
      <c r="I207" s="23">
        <v>3123.5</v>
      </c>
      <c r="J207" s="19">
        <v>156</v>
      </c>
      <c r="K207" s="19" t="s">
        <v>365</v>
      </c>
      <c r="L207" s="19" t="s">
        <v>366</v>
      </c>
      <c r="M207" s="19"/>
      <c r="N207" s="28"/>
      <c r="O207" s="28"/>
      <c r="P207" s="28"/>
      <c r="Q207" s="28"/>
      <c r="R207" s="28"/>
      <c r="S207" s="28"/>
      <c r="T207" s="30"/>
      <c r="U207" s="28"/>
      <c r="V207" s="28">
        <v>12428527.300000001</v>
      </c>
      <c r="W207" s="28"/>
      <c r="X207" s="28"/>
      <c r="Y207" s="28"/>
      <c r="Z207" s="28">
        <v>24000</v>
      </c>
      <c r="AA207" s="28">
        <f t="shared" si="28"/>
        <v>12452527.300000001</v>
      </c>
      <c r="AB207" s="28"/>
      <c r="AC207" s="28"/>
      <c r="AD207" s="28">
        <f>AA207</f>
        <v>12452527.300000001</v>
      </c>
      <c r="AE207" s="37"/>
      <c r="AF207" s="19">
        <v>2021</v>
      </c>
      <c r="AG207" s="19">
        <v>2022</v>
      </c>
    </row>
    <row r="208" spans="1:33" ht="84.9" hidden="1" customHeight="1" x14ac:dyDescent="0.45">
      <c r="A208" s="19">
        <v>190</v>
      </c>
      <c r="B208" s="19" t="s">
        <v>587</v>
      </c>
      <c r="C208" s="19" t="s">
        <v>782</v>
      </c>
      <c r="D208" s="19">
        <v>1960</v>
      </c>
      <c r="E208" s="19">
        <v>5</v>
      </c>
      <c r="F208" s="19">
        <v>3</v>
      </c>
      <c r="G208" s="39" t="s">
        <v>783</v>
      </c>
      <c r="H208" s="23">
        <v>2538.5</v>
      </c>
      <c r="I208" s="23" t="s">
        <v>364</v>
      </c>
      <c r="J208" s="19" t="s">
        <v>364</v>
      </c>
      <c r="K208" s="19" t="s">
        <v>365</v>
      </c>
      <c r="L208" s="19" t="s">
        <v>366</v>
      </c>
      <c r="M208" s="19"/>
      <c r="N208" s="28"/>
      <c r="O208" s="28"/>
      <c r="P208" s="28"/>
      <c r="Q208" s="28"/>
      <c r="R208" s="28">
        <v>961324.71</v>
      </c>
      <c r="S208" s="28"/>
      <c r="T208" s="30"/>
      <c r="U208" s="28"/>
      <c r="V208" s="28"/>
      <c r="W208" s="28"/>
      <c r="X208" s="28"/>
      <c r="Y208" s="28"/>
      <c r="Z208" s="28">
        <v>55000</v>
      </c>
      <c r="AA208" s="28">
        <f>N208+O208+P208+Q208+R208+S208+T208+U208+V208+W208+X208+Y208+Z208</f>
        <v>1016324.71</v>
      </c>
      <c r="AB208" s="28"/>
      <c r="AC208" s="28"/>
      <c r="AD208" s="28">
        <f t="shared" ref="AD208:AD214" si="29">SUM(N208:Z208)</f>
        <v>1016324.71</v>
      </c>
      <c r="AE208" s="37"/>
      <c r="AF208" s="19">
        <v>2020</v>
      </c>
      <c r="AG208" s="19">
        <v>2022</v>
      </c>
    </row>
    <row r="209" spans="1:33" ht="84.9" hidden="1" customHeight="1" x14ac:dyDescent="0.45">
      <c r="A209" s="19">
        <v>191</v>
      </c>
      <c r="B209" s="19" t="s">
        <v>587</v>
      </c>
      <c r="C209" s="19" t="s">
        <v>784</v>
      </c>
      <c r="D209" s="19">
        <v>1964</v>
      </c>
      <c r="E209" s="19">
        <v>5</v>
      </c>
      <c r="F209" s="19">
        <v>4</v>
      </c>
      <c r="G209" s="39" t="s">
        <v>785</v>
      </c>
      <c r="H209" s="23">
        <v>3519.5</v>
      </c>
      <c r="I209" s="23" t="s">
        <v>364</v>
      </c>
      <c r="J209" s="19" t="s">
        <v>364</v>
      </c>
      <c r="K209" s="19" t="s">
        <v>365</v>
      </c>
      <c r="L209" s="19" t="s">
        <v>366</v>
      </c>
      <c r="M209" s="19"/>
      <c r="N209" s="28"/>
      <c r="O209" s="28"/>
      <c r="P209" s="28"/>
      <c r="Q209" s="28"/>
      <c r="R209" s="28">
        <v>961324.71</v>
      </c>
      <c r="S209" s="28"/>
      <c r="T209" s="30"/>
      <c r="U209" s="28"/>
      <c r="V209" s="28"/>
      <c r="W209" s="28"/>
      <c r="X209" s="28"/>
      <c r="Y209" s="28"/>
      <c r="Z209" s="28">
        <v>55000</v>
      </c>
      <c r="AA209" s="28">
        <f>N209+O209+P209+Q209+R209+S209+T209+U209+V209+W209+X209+Y209+Z209</f>
        <v>1016324.71</v>
      </c>
      <c r="AB209" s="28"/>
      <c r="AC209" s="28"/>
      <c r="AD209" s="28">
        <f t="shared" si="29"/>
        <v>1016324.71</v>
      </c>
      <c r="AE209" s="37"/>
      <c r="AF209" s="19">
        <v>2020</v>
      </c>
      <c r="AG209" s="19">
        <v>2022</v>
      </c>
    </row>
    <row r="210" spans="1:33" ht="84.9" hidden="1" customHeight="1" x14ac:dyDescent="0.45">
      <c r="A210" s="19">
        <v>192</v>
      </c>
      <c r="B210" s="19" t="s">
        <v>587</v>
      </c>
      <c r="C210" s="19" t="s">
        <v>786</v>
      </c>
      <c r="D210" s="19">
        <v>1959</v>
      </c>
      <c r="E210" s="19">
        <v>5</v>
      </c>
      <c r="F210" s="19">
        <v>5</v>
      </c>
      <c r="G210" s="39">
        <v>6510.9</v>
      </c>
      <c r="H210" s="23">
        <v>4901</v>
      </c>
      <c r="I210" s="23">
        <v>2833.1</v>
      </c>
      <c r="J210" s="19">
        <v>202</v>
      </c>
      <c r="K210" s="19" t="s">
        <v>365</v>
      </c>
      <c r="L210" s="19" t="s">
        <v>366</v>
      </c>
      <c r="M210" s="19"/>
      <c r="N210" s="28"/>
      <c r="O210" s="28"/>
      <c r="P210" s="28"/>
      <c r="Q210" s="28"/>
      <c r="R210" s="28"/>
      <c r="S210" s="28"/>
      <c r="T210" s="30"/>
      <c r="U210" s="28"/>
      <c r="V210" s="28">
        <v>25488224.370000001</v>
      </c>
      <c r="W210" s="28"/>
      <c r="X210" s="28">
        <v>22714078.620000001</v>
      </c>
      <c r="Y210" s="28"/>
      <c r="Z210" s="28">
        <v>1412987.66</v>
      </c>
      <c r="AA210" s="28">
        <f t="shared" ref="AA210:AA214" si="30">SUM(V210+X210+Z210)</f>
        <v>49615290.649999999</v>
      </c>
      <c r="AB210" s="28">
        <f>SUM(V210+X210+Z210)</f>
        <v>49615290.649999999</v>
      </c>
      <c r="AC210" s="28"/>
      <c r="AD210" s="28"/>
      <c r="AE210" s="37"/>
      <c r="AF210" s="19">
        <v>2021</v>
      </c>
      <c r="AG210" s="19">
        <v>2022</v>
      </c>
    </row>
    <row r="211" spans="1:33" ht="84.9" hidden="1" customHeight="1" x14ac:dyDescent="0.45">
      <c r="A211" s="19">
        <v>193</v>
      </c>
      <c r="B211" s="19" t="s">
        <v>587</v>
      </c>
      <c r="C211" s="19" t="s">
        <v>787</v>
      </c>
      <c r="D211" s="19">
        <v>1960</v>
      </c>
      <c r="E211" s="19">
        <v>6</v>
      </c>
      <c r="F211" s="19">
        <v>7</v>
      </c>
      <c r="G211" s="39">
        <v>9188.2000000000007</v>
      </c>
      <c r="H211" s="23">
        <v>7471.4</v>
      </c>
      <c r="I211" s="23">
        <v>3321.4</v>
      </c>
      <c r="J211" s="19">
        <v>188</v>
      </c>
      <c r="K211" s="19" t="s">
        <v>365</v>
      </c>
      <c r="L211" s="19" t="s">
        <v>366</v>
      </c>
      <c r="M211" s="19"/>
      <c r="N211" s="28"/>
      <c r="O211" s="28"/>
      <c r="P211" s="28"/>
      <c r="Q211" s="28"/>
      <c r="R211" s="28"/>
      <c r="S211" s="28"/>
      <c r="T211" s="30"/>
      <c r="U211" s="28"/>
      <c r="V211" s="28">
        <v>25354399.16</v>
      </c>
      <c r="W211" s="28"/>
      <c r="X211" s="28">
        <v>22594818.989999998</v>
      </c>
      <c r="Y211" s="28"/>
      <c r="Z211" s="28">
        <v>1657171.25</v>
      </c>
      <c r="AA211" s="28">
        <f t="shared" si="30"/>
        <v>49606389.399999999</v>
      </c>
      <c r="AB211" s="28">
        <f>SUM(V211+X211+Z211)</f>
        <v>49606389.399999999</v>
      </c>
      <c r="AC211" s="28"/>
      <c r="AD211" s="28"/>
      <c r="AE211" s="37"/>
      <c r="AF211" s="19">
        <v>2021</v>
      </c>
      <c r="AG211" s="19">
        <v>2022</v>
      </c>
    </row>
    <row r="212" spans="1:33" ht="84.9" hidden="1" customHeight="1" x14ac:dyDescent="0.45">
      <c r="A212" s="19">
        <v>194</v>
      </c>
      <c r="B212" s="19" t="s">
        <v>587</v>
      </c>
      <c r="C212" s="19" t="s">
        <v>788</v>
      </c>
      <c r="D212" s="19">
        <v>1965</v>
      </c>
      <c r="E212" s="19">
        <v>5</v>
      </c>
      <c r="F212" s="19">
        <v>2</v>
      </c>
      <c r="G212" s="39">
        <v>5046.7</v>
      </c>
      <c r="H212" s="23">
        <v>2032.4</v>
      </c>
      <c r="I212" s="23">
        <v>1315</v>
      </c>
      <c r="J212" s="19">
        <v>39</v>
      </c>
      <c r="K212" s="19" t="s">
        <v>365</v>
      </c>
      <c r="L212" s="19" t="s">
        <v>366</v>
      </c>
      <c r="M212" s="19"/>
      <c r="N212" s="28"/>
      <c r="O212" s="28"/>
      <c r="P212" s="28"/>
      <c r="Q212" s="28"/>
      <c r="R212" s="28"/>
      <c r="S212" s="28"/>
      <c r="T212" s="30"/>
      <c r="U212" s="28"/>
      <c r="V212" s="28">
        <v>8550335.3000000007</v>
      </c>
      <c r="W212" s="28"/>
      <c r="X212" s="28">
        <v>7619714.3200000003</v>
      </c>
      <c r="Y212" s="28"/>
      <c r="Z212" s="28">
        <v>24000</v>
      </c>
      <c r="AA212" s="28">
        <f t="shared" si="30"/>
        <v>16194049.620000001</v>
      </c>
      <c r="AB212" s="28"/>
      <c r="AC212" s="28"/>
      <c r="AD212" s="28">
        <f t="shared" si="29"/>
        <v>16194049.620000001</v>
      </c>
      <c r="AE212" s="37"/>
      <c r="AF212" s="19">
        <v>2021</v>
      </c>
      <c r="AG212" s="19">
        <v>2022</v>
      </c>
    </row>
    <row r="213" spans="1:33" ht="84.9" hidden="1" customHeight="1" x14ac:dyDescent="0.45">
      <c r="A213" s="19">
        <v>195</v>
      </c>
      <c r="B213" s="19" t="s">
        <v>587</v>
      </c>
      <c r="C213" s="19" t="s">
        <v>789</v>
      </c>
      <c r="D213" s="19">
        <v>1959</v>
      </c>
      <c r="E213" s="19">
        <v>4</v>
      </c>
      <c r="F213" s="19">
        <v>2</v>
      </c>
      <c r="G213" s="39">
        <v>1553.8</v>
      </c>
      <c r="H213" s="23">
        <v>1490.2</v>
      </c>
      <c r="I213" s="23">
        <v>1082.0999999999999</v>
      </c>
      <c r="J213" s="19">
        <v>48</v>
      </c>
      <c r="K213" s="19" t="s">
        <v>365</v>
      </c>
      <c r="L213" s="19" t="s">
        <v>366</v>
      </c>
      <c r="M213" s="19"/>
      <c r="N213" s="28"/>
      <c r="O213" s="28"/>
      <c r="P213" s="28"/>
      <c r="Q213" s="28"/>
      <c r="R213" s="28"/>
      <c r="S213" s="28"/>
      <c r="T213" s="30"/>
      <c r="U213" s="28"/>
      <c r="V213" s="28">
        <v>9384919.0299999993</v>
      </c>
      <c r="W213" s="28"/>
      <c r="X213" s="28">
        <v>6034711.5300000003</v>
      </c>
      <c r="Y213" s="28"/>
      <c r="Z213" s="28">
        <v>24000</v>
      </c>
      <c r="AA213" s="28">
        <f t="shared" si="30"/>
        <v>15443630.559999999</v>
      </c>
      <c r="AB213" s="28"/>
      <c r="AC213" s="28"/>
      <c r="AD213" s="28">
        <f t="shared" si="29"/>
        <v>15443630.559999999</v>
      </c>
      <c r="AE213" s="37"/>
      <c r="AF213" s="19">
        <v>2021</v>
      </c>
      <c r="AG213" s="19">
        <v>2022</v>
      </c>
    </row>
    <row r="214" spans="1:33" ht="84.9" hidden="1" customHeight="1" x14ac:dyDescent="0.45">
      <c r="A214" s="19">
        <v>196</v>
      </c>
      <c r="B214" s="19" t="s">
        <v>587</v>
      </c>
      <c r="C214" s="19" t="s">
        <v>790</v>
      </c>
      <c r="D214" s="19">
        <v>1960</v>
      </c>
      <c r="E214" s="19">
        <v>4</v>
      </c>
      <c r="F214" s="19">
        <v>4</v>
      </c>
      <c r="G214" s="39">
        <v>3139</v>
      </c>
      <c r="H214" s="23">
        <v>2298.1999999999998</v>
      </c>
      <c r="I214" s="23">
        <v>1509.7</v>
      </c>
      <c r="J214" s="19" t="s">
        <v>364</v>
      </c>
      <c r="K214" s="19" t="s">
        <v>365</v>
      </c>
      <c r="L214" s="19" t="s">
        <v>366</v>
      </c>
      <c r="M214" s="19"/>
      <c r="N214" s="28"/>
      <c r="O214" s="28"/>
      <c r="P214" s="28"/>
      <c r="Q214" s="28"/>
      <c r="R214" s="28"/>
      <c r="S214" s="28"/>
      <c r="T214" s="30"/>
      <c r="U214" s="28"/>
      <c r="V214" s="28">
        <v>20411622.710000001</v>
      </c>
      <c r="W214" s="28"/>
      <c r="X214" s="28">
        <v>13125127.08</v>
      </c>
      <c r="Y214" s="28"/>
      <c r="Z214" s="28">
        <v>24000</v>
      </c>
      <c r="AA214" s="28">
        <f t="shared" si="30"/>
        <v>33560749.789999999</v>
      </c>
      <c r="AB214" s="28"/>
      <c r="AC214" s="28"/>
      <c r="AD214" s="28">
        <f t="shared" si="29"/>
        <v>33560749.789999999</v>
      </c>
      <c r="AE214" s="37"/>
      <c r="AF214" s="19">
        <v>2021</v>
      </c>
      <c r="AG214" s="19">
        <v>2022</v>
      </c>
    </row>
    <row r="215" spans="1:33" ht="84.9" hidden="1" customHeight="1" x14ac:dyDescent="0.45">
      <c r="A215" s="19">
        <v>197</v>
      </c>
      <c r="B215" s="19" t="s">
        <v>587</v>
      </c>
      <c r="C215" s="19" t="s">
        <v>694</v>
      </c>
      <c r="D215" s="19">
        <v>1960</v>
      </c>
      <c r="E215" s="19">
        <v>4</v>
      </c>
      <c r="F215" s="19">
        <v>2</v>
      </c>
      <c r="G215" s="39">
        <v>1664.6</v>
      </c>
      <c r="H215" s="23">
        <v>1545.1</v>
      </c>
      <c r="I215" s="19" t="s">
        <v>364</v>
      </c>
      <c r="J215" s="19" t="s">
        <v>364</v>
      </c>
      <c r="K215" s="19" t="s">
        <v>365</v>
      </c>
      <c r="L215" s="19" t="s">
        <v>366</v>
      </c>
      <c r="M215" s="19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>
        <v>6025741.75</v>
      </c>
      <c r="Y215" s="28"/>
      <c r="Z215" s="28">
        <v>591280.6</v>
      </c>
      <c r="AA215" s="28">
        <f>SUM(X215+Z215)</f>
        <v>6617022.3499999996</v>
      </c>
      <c r="AB215" s="28">
        <f>SUM(X215+Z215)</f>
        <v>6617022.3499999996</v>
      </c>
      <c r="AC215" s="28"/>
      <c r="AD215" s="28"/>
      <c r="AE215" s="37"/>
      <c r="AF215" s="19">
        <v>2021</v>
      </c>
      <c r="AG215" s="19">
        <v>2022</v>
      </c>
    </row>
    <row r="216" spans="1:33" ht="113.25" hidden="1" customHeight="1" x14ac:dyDescent="0.45">
      <c r="A216" s="19">
        <v>198</v>
      </c>
      <c r="B216" s="19" t="s">
        <v>587</v>
      </c>
      <c r="C216" s="19" t="s">
        <v>791</v>
      </c>
      <c r="D216" s="19">
        <v>1963</v>
      </c>
      <c r="E216" s="19">
        <v>5</v>
      </c>
      <c r="F216" s="19">
        <v>2</v>
      </c>
      <c r="G216" s="39">
        <v>1996.8</v>
      </c>
      <c r="H216" s="23">
        <v>1878.3</v>
      </c>
      <c r="I216" s="19" t="s">
        <v>364</v>
      </c>
      <c r="J216" s="19" t="s">
        <v>364</v>
      </c>
      <c r="K216" s="19" t="s">
        <v>365</v>
      </c>
      <c r="L216" s="19" t="s">
        <v>449</v>
      </c>
      <c r="M216" s="19"/>
      <c r="N216" s="28"/>
      <c r="O216" s="28"/>
      <c r="P216" s="28"/>
      <c r="Q216" s="28"/>
      <c r="R216" s="28"/>
      <c r="S216" s="28"/>
      <c r="T216" s="28"/>
      <c r="U216" s="28"/>
      <c r="V216" s="28" t="s">
        <v>720</v>
      </c>
      <c r="W216" s="28"/>
      <c r="X216" s="28" t="s">
        <v>720</v>
      </c>
      <c r="Y216" s="28"/>
      <c r="Z216" s="28">
        <v>530577.52</v>
      </c>
      <c r="AA216" s="28">
        <f t="shared" ref="AA216:AA218" si="31">SUM(N216:Z216)</f>
        <v>530577.52</v>
      </c>
      <c r="AB216" s="28">
        <v>530577.52</v>
      </c>
      <c r="AC216" s="28"/>
      <c r="AD216" s="28"/>
      <c r="AE216" s="37"/>
      <c r="AF216" s="19">
        <v>2020</v>
      </c>
      <c r="AG216" s="19">
        <v>2021</v>
      </c>
    </row>
    <row r="217" spans="1:33" ht="84.9" hidden="1" customHeight="1" x14ac:dyDescent="0.45">
      <c r="A217" s="19">
        <v>199</v>
      </c>
      <c r="B217" s="19" t="s">
        <v>587</v>
      </c>
      <c r="C217" s="19" t="s">
        <v>792</v>
      </c>
      <c r="D217" s="19">
        <v>1977</v>
      </c>
      <c r="E217" s="19">
        <v>9</v>
      </c>
      <c r="F217" s="19">
        <v>4</v>
      </c>
      <c r="G217" s="23">
        <v>8918</v>
      </c>
      <c r="H217" s="19">
        <f>7635.2+34.6</f>
        <v>7669.8</v>
      </c>
      <c r="I217" s="19">
        <v>7635.2</v>
      </c>
      <c r="J217" s="19">
        <v>376</v>
      </c>
      <c r="K217" s="19" t="s">
        <v>365</v>
      </c>
      <c r="L217" s="19" t="s">
        <v>366</v>
      </c>
      <c r="M217" s="19"/>
      <c r="N217" s="28"/>
      <c r="O217" s="28"/>
      <c r="P217" s="28"/>
      <c r="Q217" s="28"/>
      <c r="R217" s="28">
        <f>ROUND(1197448.78*1.015,2)</f>
        <v>1215410.51</v>
      </c>
      <c r="S217" s="28"/>
      <c r="T217" s="28"/>
      <c r="U217" s="28"/>
      <c r="V217" s="28"/>
      <c r="W217" s="28"/>
      <c r="X217" s="28"/>
      <c r="Y217" s="28"/>
      <c r="Z217" s="28">
        <v>224000</v>
      </c>
      <c r="AA217" s="28">
        <f t="shared" si="31"/>
        <v>1439410.51</v>
      </c>
      <c r="AB217" s="28">
        <f>AA217</f>
        <v>1439410.51</v>
      </c>
      <c r="AC217" s="28"/>
      <c r="AD217" s="28"/>
      <c r="AE217" s="37"/>
      <c r="AF217" s="19">
        <v>2021</v>
      </c>
      <c r="AG217" s="19">
        <v>2022</v>
      </c>
    </row>
    <row r="218" spans="1:33" ht="84.9" hidden="1" customHeight="1" x14ac:dyDescent="0.45">
      <c r="A218" s="19">
        <v>200</v>
      </c>
      <c r="B218" s="19" t="s">
        <v>587</v>
      </c>
      <c r="C218" s="19" t="s">
        <v>793</v>
      </c>
      <c r="D218" s="19">
        <v>1950</v>
      </c>
      <c r="E218" s="19">
        <v>4</v>
      </c>
      <c r="F218" s="19">
        <v>3</v>
      </c>
      <c r="G218" s="39">
        <v>2135.1</v>
      </c>
      <c r="H218" s="19" t="s">
        <v>364</v>
      </c>
      <c r="I218" s="19">
        <v>1704.9</v>
      </c>
      <c r="J218" s="19" t="s">
        <v>364</v>
      </c>
      <c r="K218" s="19" t="s">
        <v>365</v>
      </c>
      <c r="L218" s="19" t="s">
        <v>366</v>
      </c>
      <c r="M218" s="19" t="s">
        <v>415</v>
      </c>
      <c r="N218" s="28"/>
      <c r="O218" s="28"/>
      <c r="P218" s="28"/>
      <c r="Q218" s="28"/>
      <c r="R218" s="28"/>
      <c r="S218" s="28"/>
      <c r="T218" s="28"/>
      <c r="U218" s="28"/>
      <c r="V218" s="28" t="s">
        <v>720</v>
      </c>
      <c r="W218" s="28"/>
      <c r="X218" s="28" t="s">
        <v>720</v>
      </c>
      <c r="Y218" s="28"/>
      <c r="Z218" s="28">
        <v>919846.07</v>
      </c>
      <c r="AA218" s="28">
        <f t="shared" si="31"/>
        <v>919846.07</v>
      </c>
      <c r="AB218" s="28">
        <v>919846.07</v>
      </c>
      <c r="AC218" s="28"/>
      <c r="AD218" s="28"/>
      <c r="AE218" s="37"/>
      <c r="AF218" s="19">
        <v>2020</v>
      </c>
      <c r="AG218" s="19">
        <v>2021</v>
      </c>
    </row>
    <row r="219" spans="1:33" ht="84.9" hidden="1" customHeight="1" x14ac:dyDescent="0.45">
      <c r="A219" s="19">
        <v>201</v>
      </c>
      <c r="B219" s="19" t="s">
        <v>587</v>
      </c>
      <c r="C219" s="19" t="s">
        <v>697</v>
      </c>
      <c r="D219" s="19">
        <v>1935</v>
      </c>
      <c r="E219" s="19">
        <v>3</v>
      </c>
      <c r="F219" s="19">
        <v>3</v>
      </c>
      <c r="G219" s="39">
        <v>2068.4</v>
      </c>
      <c r="H219" s="23">
        <v>1925.7</v>
      </c>
      <c r="I219" s="19" t="s">
        <v>364</v>
      </c>
      <c r="J219" s="19" t="s">
        <v>364</v>
      </c>
      <c r="K219" s="19" t="s">
        <v>365</v>
      </c>
      <c r="L219" s="19" t="s">
        <v>366</v>
      </c>
      <c r="M219" s="19"/>
      <c r="N219" s="28"/>
      <c r="O219" s="28"/>
      <c r="P219" s="28"/>
      <c r="Q219" s="28"/>
      <c r="R219" s="28"/>
      <c r="S219" s="28"/>
      <c r="T219" s="28"/>
      <c r="U219" s="28"/>
      <c r="V219" s="28" t="s">
        <v>720</v>
      </c>
      <c r="W219" s="28"/>
      <c r="X219" s="28"/>
      <c r="Y219" s="28"/>
      <c r="Z219" s="28" t="s">
        <v>720</v>
      </c>
      <c r="AA219" s="28" t="s">
        <v>720</v>
      </c>
      <c r="AB219" s="28" t="s">
        <v>720</v>
      </c>
      <c r="AC219" s="28"/>
      <c r="AD219" s="28"/>
      <c r="AE219" s="37"/>
      <c r="AF219" s="19">
        <v>2020</v>
      </c>
      <c r="AG219" s="19">
        <v>2021</v>
      </c>
    </row>
    <row r="220" spans="1:33" ht="84.9" hidden="1" customHeight="1" x14ac:dyDescent="0.45">
      <c r="A220" s="19">
        <v>202</v>
      </c>
      <c r="B220" s="19" t="s">
        <v>587</v>
      </c>
      <c r="C220" s="19" t="s">
        <v>794</v>
      </c>
      <c r="D220" s="19">
        <v>1973</v>
      </c>
      <c r="E220" s="19">
        <v>9</v>
      </c>
      <c r="F220" s="19">
        <v>1</v>
      </c>
      <c r="G220" s="39">
        <v>3315.6</v>
      </c>
      <c r="H220" s="23">
        <v>2836.7</v>
      </c>
      <c r="I220" s="19" t="s">
        <v>364</v>
      </c>
      <c r="J220" s="19" t="s">
        <v>364</v>
      </c>
      <c r="K220" s="19" t="s">
        <v>423</v>
      </c>
      <c r="L220" s="19" t="s">
        <v>425</v>
      </c>
      <c r="M220" s="19"/>
      <c r="N220" s="28"/>
      <c r="O220" s="28"/>
      <c r="P220" s="28"/>
      <c r="Q220" s="28"/>
      <c r="R220" s="28"/>
      <c r="S220" s="28"/>
      <c r="T220" s="28"/>
      <c r="U220" s="28">
        <v>2784151.65</v>
      </c>
      <c r="V220" s="28"/>
      <c r="W220" s="28"/>
      <c r="X220" s="28"/>
      <c r="Y220" s="28"/>
      <c r="Z220" s="28">
        <v>71388.5</v>
      </c>
      <c r="AA220" s="28">
        <f t="shared" ref="AA220:AA231" si="32">N220+O220+P220+Q220+R220+S220+T220+U220+V220+W220+X220+Y220+Z220</f>
        <v>2855540.15</v>
      </c>
      <c r="AB220" s="28"/>
      <c r="AC220" s="28"/>
      <c r="AD220" s="28">
        <v>2855540.15</v>
      </c>
      <c r="AE220" s="37"/>
      <c r="AF220" s="19">
        <v>2020</v>
      </c>
      <c r="AG220" s="19">
        <v>2022</v>
      </c>
    </row>
    <row r="221" spans="1:33" ht="84.9" hidden="1" customHeight="1" x14ac:dyDescent="0.45">
      <c r="A221" s="19">
        <v>203</v>
      </c>
      <c r="B221" s="19" t="s">
        <v>587</v>
      </c>
      <c r="C221" s="19" t="s">
        <v>795</v>
      </c>
      <c r="D221" s="19">
        <v>1938</v>
      </c>
      <c r="E221" s="19">
        <v>8</v>
      </c>
      <c r="F221" s="19">
        <v>9</v>
      </c>
      <c r="G221" s="39">
        <v>11111.8</v>
      </c>
      <c r="H221" s="23">
        <v>9447</v>
      </c>
      <c r="I221" s="19" t="s">
        <v>364</v>
      </c>
      <c r="J221" s="19" t="s">
        <v>364</v>
      </c>
      <c r="K221" s="19" t="s">
        <v>365</v>
      </c>
      <c r="L221" s="19" t="s">
        <v>366</v>
      </c>
      <c r="M221" s="19" t="s">
        <v>415</v>
      </c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>
        <v>34527066.640000001</v>
      </c>
      <c r="Y221" s="28"/>
      <c r="Z221" s="28">
        <v>1414561.15</v>
      </c>
      <c r="AA221" s="28">
        <f>SUM(N221:Z221)</f>
        <v>35941627.789999999</v>
      </c>
      <c r="AB221" s="28">
        <f>SUM(O221:Z221)</f>
        <v>35941627.789999999</v>
      </c>
      <c r="AC221" s="28"/>
      <c r="AD221" s="28"/>
      <c r="AE221" s="37"/>
      <c r="AF221" s="19">
        <v>2020</v>
      </c>
      <c r="AG221" s="19">
        <v>2021</v>
      </c>
    </row>
    <row r="222" spans="1:33" ht="84.9" hidden="1" customHeight="1" x14ac:dyDescent="0.45">
      <c r="A222" s="19">
        <v>204</v>
      </c>
      <c r="B222" s="19" t="s">
        <v>587</v>
      </c>
      <c r="C222" s="19" t="s">
        <v>278</v>
      </c>
      <c r="D222" s="92">
        <v>1934</v>
      </c>
      <c r="E222" s="92">
        <v>5</v>
      </c>
      <c r="F222" s="92">
        <v>5</v>
      </c>
      <c r="G222" s="92">
        <v>4540</v>
      </c>
      <c r="H222" s="92">
        <v>4140.2</v>
      </c>
      <c r="I222" s="92" t="s">
        <v>364</v>
      </c>
      <c r="J222" s="92" t="s">
        <v>364</v>
      </c>
      <c r="K222" s="19" t="s">
        <v>365</v>
      </c>
      <c r="L222" s="19" t="s">
        <v>366</v>
      </c>
      <c r="M222" s="19" t="s">
        <v>415</v>
      </c>
      <c r="N222" s="93"/>
      <c r="O222" s="93"/>
      <c r="P222" s="93"/>
      <c r="Q222" s="93"/>
      <c r="R222" s="93"/>
      <c r="S222" s="93"/>
      <c r="T222" s="93"/>
      <c r="U222" s="93"/>
      <c r="V222" s="68" t="s">
        <v>720</v>
      </c>
      <c r="W222" s="93"/>
      <c r="X222" s="95"/>
      <c r="Y222" s="93"/>
      <c r="Z222" s="68">
        <v>922274.99</v>
      </c>
      <c r="AA222" s="68">
        <v>922274.99</v>
      </c>
      <c r="AB222" s="68">
        <v>922274.99</v>
      </c>
      <c r="AC222" s="68"/>
      <c r="AD222" s="68"/>
      <c r="AE222" s="92"/>
      <c r="AF222" s="92">
        <v>2020</v>
      </c>
      <c r="AG222" s="92">
        <v>2021</v>
      </c>
    </row>
    <row r="223" spans="1:33" ht="84.9" hidden="1" customHeight="1" x14ac:dyDescent="0.45">
      <c r="A223" s="19">
        <v>205</v>
      </c>
      <c r="B223" s="19" t="s">
        <v>587</v>
      </c>
      <c r="C223" s="19" t="s">
        <v>796</v>
      </c>
      <c r="D223" s="19">
        <v>1950</v>
      </c>
      <c r="E223" s="19">
        <v>5</v>
      </c>
      <c r="F223" s="19">
        <v>3</v>
      </c>
      <c r="G223" s="23">
        <v>3120.3</v>
      </c>
      <c r="H223" s="23">
        <v>1958.8</v>
      </c>
      <c r="I223" s="23">
        <v>1139.5999999999999</v>
      </c>
      <c r="J223" s="19" t="s">
        <v>364</v>
      </c>
      <c r="K223" s="19" t="s">
        <v>365</v>
      </c>
      <c r="L223" s="19" t="s">
        <v>366</v>
      </c>
      <c r="M223" s="19" t="s">
        <v>415</v>
      </c>
      <c r="N223" s="28">
        <f>ROUND(H223*616.25*1.015,2)</f>
        <v>1225217.1599999999</v>
      </c>
      <c r="O223" s="28">
        <f>ROUND(H223*3990.81*1.015,2)</f>
        <v>7934456.6100000003</v>
      </c>
      <c r="P223" s="28">
        <f>ROUND(H223*620.83*1.015,2)</f>
        <v>1234323.03</v>
      </c>
      <c r="Q223" s="28">
        <f>ROUND(H223*660.21*1.015,2)</f>
        <v>1312617.6399999999</v>
      </c>
      <c r="R223" s="28">
        <f>ROUND(1197448.78*1.015,2)</f>
        <v>1215410.51</v>
      </c>
      <c r="S223" s="28">
        <f>ROUND(H223*665.62*1.015,2)</f>
        <v>1323373.7</v>
      </c>
      <c r="T223" s="30"/>
      <c r="U223" s="28"/>
      <c r="V223" s="28"/>
      <c r="W223" s="28"/>
      <c r="X223" s="28"/>
      <c r="Y223" s="28"/>
      <c r="Z223" s="28">
        <v>423906.9</v>
      </c>
      <c r="AA223" s="28">
        <f t="shared" si="32"/>
        <v>14669305.549999999</v>
      </c>
      <c r="AB223" s="28"/>
      <c r="AC223" s="28"/>
      <c r="AD223" s="28">
        <f>SUM(N223:Z223)</f>
        <v>14669305.549999999</v>
      </c>
      <c r="AE223" s="37"/>
      <c r="AF223" s="19">
        <v>2020</v>
      </c>
      <c r="AG223" s="19">
        <v>2022</v>
      </c>
    </row>
    <row r="224" spans="1:33" ht="84.9" hidden="1" customHeight="1" x14ac:dyDescent="0.45">
      <c r="A224" s="19">
        <v>206</v>
      </c>
      <c r="B224" s="19" t="s">
        <v>587</v>
      </c>
      <c r="C224" s="19" t="s">
        <v>797</v>
      </c>
      <c r="D224" s="19">
        <v>1950</v>
      </c>
      <c r="E224" s="19">
        <v>4</v>
      </c>
      <c r="F224" s="19">
        <v>2</v>
      </c>
      <c r="G224" s="23">
        <v>1853.9</v>
      </c>
      <c r="H224" s="23">
        <v>1146.0999999999999</v>
      </c>
      <c r="I224" s="23">
        <v>445.5</v>
      </c>
      <c r="J224" s="19" t="s">
        <v>364</v>
      </c>
      <c r="K224" s="19" t="s">
        <v>365</v>
      </c>
      <c r="L224" s="19" t="s">
        <v>366</v>
      </c>
      <c r="M224" s="19" t="s">
        <v>415</v>
      </c>
      <c r="N224" s="28">
        <f>H224*616.25*1.015</f>
        <v>716878.38687499997</v>
      </c>
      <c r="O224" s="28">
        <f>H224*4857.9*1.015</f>
        <v>5651153.7778499993</v>
      </c>
      <c r="P224" s="28">
        <f>H224*596.38*1.015</f>
        <v>693763.78476999979</v>
      </c>
      <c r="Q224" s="28">
        <f>H224*589.88*1.015</f>
        <v>686202.39001999993</v>
      </c>
      <c r="R224" s="28"/>
      <c r="S224" s="28">
        <f>H224*1074.75*1.015</f>
        <v>1250247.5396249997</v>
      </c>
      <c r="T224" s="30"/>
      <c r="U224" s="28"/>
      <c r="V224" s="28">
        <v>7428185.6399999997</v>
      </c>
      <c r="W224" s="28"/>
      <c r="X224" s="28"/>
      <c r="Y224" s="28"/>
      <c r="Z224" s="28">
        <v>522797.52</v>
      </c>
      <c r="AA224" s="28">
        <f t="shared" si="32"/>
        <v>16949229.039139997</v>
      </c>
      <c r="AB224" s="28"/>
      <c r="AC224" s="28"/>
      <c r="AD224" s="28">
        <f>SUM(N224:Z224)</f>
        <v>16949229.039139997</v>
      </c>
      <c r="AE224" s="37"/>
      <c r="AF224" s="19">
        <v>2020</v>
      </c>
      <c r="AG224" s="19">
        <v>2022</v>
      </c>
    </row>
    <row r="225" spans="1:33" ht="84.9" hidden="1" customHeight="1" x14ac:dyDescent="0.45">
      <c r="A225" s="19">
        <v>207</v>
      </c>
      <c r="B225" s="19" t="s">
        <v>587</v>
      </c>
      <c r="C225" s="19" t="s">
        <v>798</v>
      </c>
      <c r="D225" s="19">
        <v>1976</v>
      </c>
      <c r="E225" s="19">
        <v>9</v>
      </c>
      <c r="F225" s="19">
        <v>1</v>
      </c>
      <c r="G225" s="39">
        <v>2703.4</v>
      </c>
      <c r="H225" s="23">
        <v>2353.3000000000002</v>
      </c>
      <c r="I225" s="19" t="s">
        <v>364</v>
      </c>
      <c r="J225" s="19" t="s">
        <v>364</v>
      </c>
      <c r="K225" s="19" t="s">
        <v>365</v>
      </c>
      <c r="L225" s="19" t="s">
        <v>366</v>
      </c>
      <c r="M225" s="19"/>
      <c r="N225" s="28"/>
      <c r="O225" s="28"/>
      <c r="P225" s="28"/>
      <c r="Q225" s="28"/>
      <c r="R225" s="28"/>
      <c r="S225" s="28"/>
      <c r="T225" s="28"/>
      <c r="U225" s="28">
        <v>2961856.62</v>
      </c>
      <c r="V225" s="28"/>
      <c r="W225" s="28"/>
      <c r="X225" s="28"/>
      <c r="Y225" s="28"/>
      <c r="Z225" s="28">
        <v>75945.039999999994</v>
      </c>
      <c r="AA225" s="28">
        <f t="shared" si="32"/>
        <v>3037801.66</v>
      </c>
      <c r="AB225" s="28"/>
      <c r="AC225" s="28"/>
      <c r="AD225" s="28">
        <v>3037801.66</v>
      </c>
      <c r="AE225" s="37"/>
      <c r="AF225" s="19">
        <v>2020</v>
      </c>
      <c r="AG225" s="19">
        <v>2022</v>
      </c>
    </row>
    <row r="226" spans="1:33" ht="84.9" hidden="1" customHeight="1" x14ac:dyDescent="0.45">
      <c r="A226" s="19">
        <v>208</v>
      </c>
      <c r="B226" s="19" t="s">
        <v>587</v>
      </c>
      <c r="C226" s="19" t="s">
        <v>799</v>
      </c>
      <c r="D226" s="19">
        <v>1974</v>
      </c>
      <c r="E226" s="19">
        <v>9</v>
      </c>
      <c r="F226" s="19">
        <v>2</v>
      </c>
      <c r="G226" s="39">
        <v>4737.7</v>
      </c>
      <c r="H226" s="23">
        <v>4096.6000000000004</v>
      </c>
      <c r="I226" s="19">
        <v>3613.5</v>
      </c>
      <c r="J226" s="19">
        <v>114</v>
      </c>
      <c r="K226" s="19" t="s">
        <v>365</v>
      </c>
      <c r="L226" s="19" t="s">
        <v>366</v>
      </c>
      <c r="M226" s="19"/>
      <c r="N226" s="28"/>
      <c r="O226" s="28"/>
      <c r="P226" s="28"/>
      <c r="Q226" s="28"/>
      <c r="R226" s="28"/>
      <c r="S226" s="28"/>
      <c r="T226" s="28"/>
      <c r="U226" s="28"/>
      <c r="V226" s="28">
        <v>8913564.9000000004</v>
      </c>
      <c r="W226" s="28"/>
      <c r="X226" s="28"/>
      <c r="Y226" s="28"/>
      <c r="Z226" s="28">
        <v>1095955.1000000001</v>
      </c>
      <c r="AA226" s="28">
        <f t="shared" si="32"/>
        <v>10009520</v>
      </c>
      <c r="AB226" s="28"/>
      <c r="AC226" s="28"/>
      <c r="AD226" s="28">
        <f>AA226</f>
        <v>10009520</v>
      </c>
      <c r="AE226" s="37"/>
      <c r="AF226" s="19">
        <v>2021</v>
      </c>
      <c r="AG226" s="19">
        <v>2022</v>
      </c>
    </row>
    <row r="227" spans="1:33" ht="84.9" hidden="1" customHeight="1" x14ac:dyDescent="0.45">
      <c r="A227" s="19">
        <v>209</v>
      </c>
      <c r="B227" s="19" t="s">
        <v>587</v>
      </c>
      <c r="C227" s="19" t="s">
        <v>800</v>
      </c>
      <c r="D227" s="19">
        <v>1988</v>
      </c>
      <c r="E227" s="19">
        <v>5</v>
      </c>
      <c r="F227" s="19">
        <v>3</v>
      </c>
      <c r="G227" s="39" t="s">
        <v>801</v>
      </c>
      <c r="H227" s="23">
        <v>2104.1</v>
      </c>
      <c r="I227" s="23" t="s">
        <v>364</v>
      </c>
      <c r="J227" s="19" t="s">
        <v>364</v>
      </c>
      <c r="K227" s="19" t="s">
        <v>365</v>
      </c>
      <c r="L227" s="19" t="s">
        <v>366</v>
      </c>
      <c r="M227" s="19"/>
      <c r="N227" s="28"/>
      <c r="O227" s="28"/>
      <c r="P227" s="28"/>
      <c r="Q227" s="28"/>
      <c r="R227" s="28">
        <v>961324.71</v>
      </c>
      <c r="S227" s="28"/>
      <c r="T227" s="30"/>
      <c r="U227" s="28"/>
      <c r="V227" s="28"/>
      <c r="W227" s="28"/>
      <c r="X227" s="28"/>
      <c r="Y227" s="28"/>
      <c r="Z227" s="28">
        <v>55000</v>
      </c>
      <c r="AA227" s="28">
        <f t="shared" si="32"/>
        <v>1016324.71</v>
      </c>
      <c r="AB227" s="28"/>
      <c r="AC227" s="28"/>
      <c r="AD227" s="28">
        <v>1016324.71</v>
      </c>
      <c r="AE227" s="37"/>
      <c r="AF227" s="19">
        <v>2020</v>
      </c>
      <c r="AG227" s="19">
        <v>2022</v>
      </c>
    </row>
    <row r="228" spans="1:33" ht="84.9" hidden="1" customHeight="1" x14ac:dyDescent="0.45">
      <c r="A228" s="19">
        <v>210</v>
      </c>
      <c r="B228" s="19" t="s">
        <v>587</v>
      </c>
      <c r="C228" s="19" t="s">
        <v>802</v>
      </c>
      <c r="D228" s="19">
        <v>1953</v>
      </c>
      <c r="E228" s="19">
        <v>3</v>
      </c>
      <c r="F228" s="19">
        <v>1</v>
      </c>
      <c r="G228" s="39" t="s">
        <v>803</v>
      </c>
      <c r="H228" s="23">
        <v>611.79999999999995</v>
      </c>
      <c r="I228" s="23" t="s">
        <v>364</v>
      </c>
      <c r="J228" s="19" t="s">
        <v>364</v>
      </c>
      <c r="K228" s="19" t="s">
        <v>371</v>
      </c>
      <c r="L228" s="19" t="s">
        <v>366</v>
      </c>
      <c r="M228" s="19"/>
      <c r="N228" s="28"/>
      <c r="O228" s="28"/>
      <c r="P228" s="28"/>
      <c r="Q228" s="28"/>
      <c r="R228" s="28">
        <v>404058.12</v>
      </c>
      <c r="S228" s="28"/>
      <c r="T228" s="30"/>
      <c r="U228" s="28"/>
      <c r="V228" s="28"/>
      <c r="W228" s="28"/>
      <c r="X228" s="28"/>
      <c r="Y228" s="28"/>
      <c r="Z228" s="28">
        <v>74467.86</v>
      </c>
      <c r="AA228" s="28">
        <f t="shared" si="32"/>
        <v>478525.98</v>
      </c>
      <c r="AB228" s="28">
        <f>AA228</f>
        <v>478525.98</v>
      </c>
      <c r="AC228" s="28"/>
      <c r="AD228" s="28"/>
      <c r="AE228" s="37"/>
      <c r="AF228" s="19">
        <v>2020</v>
      </c>
      <c r="AG228" s="19">
        <v>2022</v>
      </c>
    </row>
    <row r="229" spans="1:33" ht="84.9" hidden="1" customHeight="1" x14ac:dyDescent="0.45">
      <c r="A229" s="19">
        <v>211</v>
      </c>
      <c r="B229" s="19" t="s">
        <v>587</v>
      </c>
      <c r="C229" s="19" t="s">
        <v>474</v>
      </c>
      <c r="D229" s="19">
        <v>1953</v>
      </c>
      <c r="E229" s="19">
        <v>3</v>
      </c>
      <c r="F229" s="19">
        <v>1</v>
      </c>
      <c r="G229" s="23">
        <v>671.8</v>
      </c>
      <c r="H229" s="23">
        <v>617.70000000000005</v>
      </c>
      <c r="I229" s="23" t="s">
        <v>364</v>
      </c>
      <c r="J229" s="19" t="s">
        <v>364</v>
      </c>
      <c r="K229" s="19" t="s">
        <v>371</v>
      </c>
      <c r="L229" s="19" t="s">
        <v>366</v>
      </c>
      <c r="M229" s="19"/>
      <c r="N229" s="28"/>
      <c r="O229" s="28"/>
      <c r="P229" s="28"/>
      <c r="Q229" s="28"/>
      <c r="R229" s="28">
        <v>407954.72</v>
      </c>
      <c r="S229" s="28"/>
      <c r="T229" s="30"/>
      <c r="U229" s="28"/>
      <c r="V229" s="28"/>
      <c r="W229" s="28"/>
      <c r="X229" s="28"/>
      <c r="Y229" s="28"/>
      <c r="Z229" s="28">
        <v>75186</v>
      </c>
      <c r="AA229" s="28">
        <f t="shared" si="32"/>
        <v>483140.72</v>
      </c>
      <c r="AB229" s="28">
        <f>AA229</f>
        <v>483140.72</v>
      </c>
      <c r="AC229" s="28"/>
      <c r="AD229" s="28"/>
      <c r="AE229" s="37"/>
      <c r="AF229" s="19">
        <v>2020</v>
      </c>
      <c r="AG229" s="19">
        <v>2022</v>
      </c>
    </row>
    <row r="230" spans="1:33" ht="84.9" hidden="1" customHeight="1" x14ac:dyDescent="0.45">
      <c r="A230" s="19">
        <v>212</v>
      </c>
      <c r="B230" s="19" t="s">
        <v>587</v>
      </c>
      <c r="C230" s="19" t="s">
        <v>804</v>
      </c>
      <c r="D230" s="19">
        <v>1953</v>
      </c>
      <c r="E230" s="19">
        <v>3</v>
      </c>
      <c r="F230" s="19">
        <v>1</v>
      </c>
      <c r="G230" s="39" t="s">
        <v>805</v>
      </c>
      <c r="H230" s="23">
        <v>610.79999999999995</v>
      </c>
      <c r="I230" s="23" t="s">
        <v>364</v>
      </c>
      <c r="J230" s="19" t="s">
        <v>364</v>
      </c>
      <c r="K230" s="19" t="s">
        <v>371</v>
      </c>
      <c r="L230" s="19" t="s">
        <v>366</v>
      </c>
      <c r="M230" s="19"/>
      <c r="N230" s="28"/>
      <c r="O230" s="28"/>
      <c r="P230" s="28"/>
      <c r="Q230" s="28"/>
      <c r="R230" s="28">
        <v>403397.67</v>
      </c>
      <c r="S230" s="28"/>
      <c r="T230" s="30"/>
      <c r="U230" s="28"/>
      <c r="V230" s="28">
        <v>3244797.95</v>
      </c>
      <c r="W230" s="28"/>
      <c r="X230" s="28"/>
      <c r="Y230" s="28"/>
      <c r="Z230" s="28">
        <v>548872.26</v>
      </c>
      <c r="AA230" s="28">
        <f t="shared" si="32"/>
        <v>4197067.88</v>
      </c>
      <c r="AB230" s="28">
        <f>R230+74346.14</f>
        <v>477743.81</v>
      </c>
      <c r="AC230" s="28"/>
      <c r="AD230" s="28">
        <f>AA230-AB230</f>
        <v>3719324.07</v>
      </c>
      <c r="AE230" s="37"/>
      <c r="AF230" s="19">
        <v>2021</v>
      </c>
      <c r="AG230" s="19">
        <v>2022</v>
      </c>
    </row>
    <row r="231" spans="1:33" ht="84.9" hidden="1" customHeight="1" x14ac:dyDescent="0.45">
      <c r="A231" s="19">
        <v>213</v>
      </c>
      <c r="B231" s="19" t="s">
        <v>587</v>
      </c>
      <c r="C231" s="19" t="s">
        <v>806</v>
      </c>
      <c r="D231" s="19">
        <v>1967</v>
      </c>
      <c r="E231" s="19">
        <v>5</v>
      </c>
      <c r="F231" s="19">
        <v>4</v>
      </c>
      <c r="G231" s="39" t="s">
        <v>807</v>
      </c>
      <c r="H231" s="23">
        <v>3736.3</v>
      </c>
      <c r="I231" s="23" t="s">
        <v>364</v>
      </c>
      <c r="J231" s="19" t="s">
        <v>364</v>
      </c>
      <c r="K231" s="19" t="s">
        <v>365</v>
      </c>
      <c r="L231" s="19" t="s">
        <v>366</v>
      </c>
      <c r="M231" s="19"/>
      <c r="N231" s="28"/>
      <c r="O231" s="28"/>
      <c r="P231" s="28"/>
      <c r="Q231" s="28"/>
      <c r="R231" s="28">
        <v>961324.71</v>
      </c>
      <c r="S231" s="28"/>
      <c r="T231" s="30"/>
      <c r="U231" s="28"/>
      <c r="V231" s="28"/>
      <c r="W231" s="28"/>
      <c r="X231" s="28"/>
      <c r="Y231" s="28"/>
      <c r="Z231" s="28">
        <v>55000</v>
      </c>
      <c r="AA231" s="28">
        <f t="shared" si="32"/>
        <v>1016324.71</v>
      </c>
      <c r="AB231" s="28"/>
      <c r="AC231" s="28"/>
      <c r="AD231" s="28">
        <f>SUM(N231:Z231)</f>
        <v>1016324.71</v>
      </c>
      <c r="AE231" s="37"/>
      <c r="AF231" s="19">
        <v>2020</v>
      </c>
      <c r="AG231" s="19">
        <v>2022</v>
      </c>
    </row>
    <row r="232" spans="1:33" ht="84.9" hidden="1" customHeight="1" x14ac:dyDescent="0.45">
      <c r="A232" s="19">
        <v>214</v>
      </c>
      <c r="B232" s="19" t="s">
        <v>587</v>
      </c>
      <c r="C232" s="19" t="s">
        <v>710</v>
      </c>
      <c r="D232" s="19">
        <v>1970</v>
      </c>
      <c r="E232" s="19">
        <v>5</v>
      </c>
      <c r="F232" s="19">
        <v>4</v>
      </c>
      <c r="G232" s="39">
        <v>3456.9</v>
      </c>
      <c r="H232" s="23">
        <v>3412.3</v>
      </c>
      <c r="I232" s="23">
        <v>2297</v>
      </c>
      <c r="J232" s="19">
        <v>141</v>
      </c>
      <c r="K232" s="19" t="s">
        <v>365</v>
      </c>
      <c r="L232" s="19" t="s">
        <v>366</v>
      </c>
      <c r="M232" s="19"/>
      <c r="N232" s="28"/>
      <c r="O232" s="28"/>
      <c r="P232" s="28"/>
      <c r="Q232" s="28"/>
      <c r="R232" s="28"/>
      <c r="S232" s="28"/>
      <c r="T232" s="30"/>
      <c r="U232" s="28"/>
      <c r="V232" s="28">
        <v>14151435.49</v>
      </c>
      <c r="W232" s="28"/>
      <c r="X232" s="28"/>
      <c r="Y232" s="28"/>
      <c r="Z232" s="28">
        <v>692441.57</v>
      </c>
      <c r="AA232" s="28">
        <v>14843877.060000001</v>
      </c>
      <c r="AB232" s="28"/>
      <c r="AC232" s="28"/>
      <c r="AD232" s="28">
        <f t="shared" ref="AD232:AD235" si="33">AA232</f>
        <v>14843877.060000001</v>
      </c>
      <c r="AE232" s="37"/>
      <c r="AF232" s="19">
        <v>2021</v>
      </c>
      <c r="AG232" s="19">
        <v>2022</v>
      </c>
    </row>
    <row r="233" spans="1:33" ht="84.9" hidden="1" customHeight="1" x14ac:dyDescent="0.45">
      <c r="A233" s="19">
        <v>215</v>
      </c>
      <c r="B233" s="19" t="s">
        <v>587</v>
      </c>
      <c r="C233" s="19" t="s">
        <v>808</v>
      </c>
      <c r="D233" s="19">
        <v>1972</v>
      </c>
      <c r="E233" s="19">
        <v>5</v>
      </c>
      <c r="F233" s="19">
        <v>6</v>
      </c>
      <c r="G233" s="39">
        <v>4470.3</v>
      </c>
      <c r="H233" s="23">
        <v>4409.6000000000004</v>
      </c>
      <c r="I233" s="23">
        <v>3023.4</v>
      </c>
      <c r="J233" s="19">
        <v>182</v>
      </c>
      <c r="K233" s="19" t="s">
        <v>365</v>
      </c>
      <c r="L233" s="19" t="s">
        <v>366</v>
      </c>
      <c r="M233" s="19"/>
      <c r="N233" s="28"/>
      <c r="O233" s="28"/>
      <c r="P233" s="28">
        <v>3229216.02</v>
      </c>
      <c r="Q233" s="28"/>
      <c r="R233" s="28"/>
      <c r="S233" s="28">
        <v>3201155.32</v>
      </c>
      <c r="T233" s="30"/>
      <c r="U233" s="28"/>
      <c r="V233" s="28">
        <v>17468658.140000001</v>
      </c>
      <c r="W233" s="28"/>
      <c r="X233" s="28"/>
      <c r="Y233" s="28"/>
      <c r="Z233" s="28">
        <v>977613.95</v>
      </c>
      <c r="AA233" s="28">
        <f>SUM(P233+S233+V233+Z233)</f>
        <v>24876643.43</v>
      </c>
      <c r="AB233" s="28"/>
      <c r="AC233" s="28"/>
      <c r="AD233" s="28">
        <f t="shared" si="33"/>
        <v>24876643.43</v>
      </c>
      <c r="AE233" s="37"/>
      <c r="AF233" s="19">
        <v>2021</v>
      </c>
      <c r="AG233" s="19">
        <v>2022</v>
      </c>
    </row>
    <row r="234" spans="1:33" ht="84.9" hidden="1" customHeight="1" x14ac:dyDescent="0.45">
      <c r="A234" s="19">
        <v>216</v>
      </c>
      <c r="B234" s="19" t="s">
        <v>587</v>
      </c>
      <c r="C234" s="19" t="s">
        <v>809</v>
      </c>
      <c r="D234" s="19">
        <v>1972</v>
      </c>
      <c r="E234" s="19">
        <v>5</v>
      </c>
      <c r="F234" s="19">
        <v>6</v>
      </c>
      <c r="G234" s="39">
        <v>4905.3</v>
      </c>
      <c r="H234" s="23">
        <v>4421</v>
      </c>
      <c r="I234" s="23">
        <v>3037.5</v>
      </c>
      <c r="J234" s="19">
        <v>179</v>
      </c>
      <c r="K234" s="19" t="s">
        <v>365</v>
      </c>
      <c r="L234" s="19" t="s">
        <v>366</v>
      </c>
      <c r="M234" s="19"/>
      <c r="N234" s="28"/>
      <c r="O234" s="28"/>
      <c r="P234" s="28"/>
      <c r="Q234" s="28"/>
      <c r="R234" s="28"/>
      <c r="S234" s="28"/>
      <c r="T234" s="30"/>
      <c r="U234" s="28"/>
      <c r="V234" s="28">
        <v>17512212.870000001</v>
      </c>
      <c r="W234" s="28"/>
      <c r="X234" s="28"/>
      <c r="Y234" s="28"/>
      <c r="Z234" s="28">
        <v>721269.59</v>
      </c>
      <c r="AA234" s="28">
        <f>SUM(V234+Z234)</f>
        <v>18233482.460000001</v>
      </c>
      <c r="AB234" s="28"/>
      <c r="AC234" s="28"/>
      <c r="AD234" s="28">
        <f t="shared" si="33"/>
        <v>18233482.460000001</v>
      </c>
      <c r="AE234" s="37"/>
      <c r="AF234" s="19">
        <v>2021</v>
      </c>
      <c r="AG234" s="19">
        <v>2022</v>
      </c>
    </row>
    <row r="235" spans="1:33" ht="84.9" hidden="1" customHeight="1" x14ac:dyDescent="0.45">
      <c r="A235" s="19">
        <v>217</v>
      </c>
      <c r="B235" s="19" t="s">
        <v>587</v>
      </c>
      <c r="C235" s="19" t="s">
        <v>810</v>
      </c>
      <c r="D235" s="19">
        <v>1964</v>
      </c>
      <c r="E235" s="19">
        <v>6</v>
      </c>
      <c r="F235" s="19">
        <v>3</v>
      </c>
      <c r="G235" s="39">
        <v>3782</v>
      </c>
      <c r="H235" s="23">
        <v>3586</v>
      </c>
      <c r="I235" s="23">
        <v>2998.5</v>
      </c>
      <c r="J235" s="19" t="s">
        <v>364</v>
      </c>
      <c r="K235" s="19" t="s">
        <v>365</v>
      </c>
      <c r="L235" s="19" t="s">
        <v>366</v>
      </c>
      <c r="M235" s="19"/>
      <c r="N235" s="28"/>
      <c r="O235" s="28"/>
      <c r="P235" s="28"/>
      <c r="Q235" s="28"/>
      <c r="R235" s="28"/>
      <c r="S235" s="28"/>
      <c r="T235" s="30"/>
      <c r="U235" s="28"/>
      <c r="V235" s="28">
        <v>11343923.25</v>
      </c>
      <c r="W235" s="28"/>
      <c r="X235" s="28">
        <v>10456140.859999999</v>
      </c>
      <c r="Y235" s="28"/>
      <c r="Z235" s="28">
        <v>1516395.53</v>
      </c>
      <c r="AA235" s="28">
        <f>SUM(V235+X235+Z235)</f>
        <v>23316459.640000001</v>
      </c>
      <c r="AB235" s="28"/>
      <c r="AC235" s="28"/>
      <c r="AD235" s="28">
        <f t="shared" si="33"/>
        <v>23316459.640000001</v>
      </c>
      <c r="AE235" s="37"/>
      <c r="AF235" s="19">
        <v>2021</v>
      </c>
      <c r="AG235" s="19">
        <v>2022</v>
      </c>
    </row>
    <row r="236" spans="1:33" ht="84.9" hidden="1" customHeight="1" x14ac:dyDescent="0.45">
      <c r="A236" s="19">
        <v>218</v>
      </c>
      <c r="B236" s="19" t="s">
        <v>587</v>
      </c>
      <c r="C236" s="19" t="s">
        <v>811</v>
      </c>
      <c r="D236" s="19">
        <v>1961</v>
      </c>
      <c r="E236" s="19">
        <v>5</v>
      </c>
      <c r="F236" s="19">
        <v>2</v>
      </c>
      <c r="G236" s="39">
        <v>1779.7</v>
      </c>
      <c r="H236" s="39">
        <v>1075.5999999999999</v>
      </c>
      <c r="I236" s="39" t="s">
        <v>812</v>
      </c>
      <c r="J236" s="19">
        <v>81</v>
      </c>
      <c r="K236" s="19" t="s">
        <v>365</v>
      </c>
      <c r="L236" s="19" t="s">
        <v>366</v>
      </c>
      <c r="M236" s="19"/>
      <c r="N236" s="28"/>
      <c r="O236" s="28"/>
      <c r="P236" s="28"/>
      <c r="Q236" s="28"/>
      <c r="R236" s="28"/>
      <c r="S236" s="28"/>
      <c r="T236" s="30"/>
      <c r="U236" s="28"/>
      <c r="V236" s="28"/>
      <c r="W236" s="28"/>
      <c r="X236" s="28">
        <v>3585374.55</v>
      </c>
      <c r="Y236" s="28">
        <v>1239565.7</v>
      </c>
      <c r="Z236" s="28">
        <v>500329.43</v>
      </c>
      <c r="AA236" s="28">
        <v>5325269.68</v>
      </c>
      <c r="AB236" s="28"/>
      <c r="AC236" s="28"/>
      <c r="AD236" s="28">
        <v>5325269.68</v>
      </c>
      <c r="AE236" s="37"/>
      <c r="AF236" s="19">
        <v>2021</v>
      </c>
      <c r="AG236" s="19">
        <v>2021</v>
      </c>
    </row>
    <row r="237" spans="1:33" ht="84.9" customHeight="1" x14ac:dyDescent="0.45">
      <c r="A237" s="19">
        <v>219</v>
      </c>
      <c r="B237" s="19" t="s">
        <v>587</v>
      </c>
      <c r="C237" s="19" t="s">
        <v>813</v>
      </c>
      <c r="D237" s="19">
        <v>1964</v>
      </c>
      <c r="E237" s="19">
        <v>5</v>
      </c>
      <c r="F237" s="19">
        <v>4</v>
      </c>
      <c r="G237" s="19">
        <v>3462.4</v>
      </c>
      <c r="H237" s="19">
        <f>2652.4+560</f>
        <v>3212.4</v>
      </c>
      <c r="I237" s="23">
        <v>2652.4</v>
      </c>
      <c r="J237" s="19" t="s">
        <v>364</v>
      </c>
      <c r="K237" s="19" t="s">
        <v>365</v>
      </c>
      <c r="L237" s="19" t="s">
        <v>366</v>
      </c>
      <c r="M237" s="19"/>
      <c r="N237" s="28"/>
      <c r="O237" s="28"/>
      <c r="P237" s="28"/>
      <c r="Q237" s="28"/>
      <c r="R237" s="28">
        <f t="shared" ref="R237:R241" si="34">ROUND(1197448.78*1.015,2)</f>
        <v>1215410.51</v>
      </c>
      <c r="S237" s="28"/>
      <c r="T237" s="28"/>
      <c r="U237" s="28"/>
      <c r="V237" s="28"/>
      <c r="W237" s="28"/>
      <c r="X237" s="28"/>
      <c r="Y237" s="28"/>
      <c r="Z237" s="28">
        <v>224000</v>
      </c>
      <c r="AA237" s="28">
        <f t="shared" ref="AA237:AA241" si="35">SUM(N237:Z237)</f>
        <v>1439410.51</v>
      </c>
      <c r="AB237" s="28">
        <f t="shared" ref="AB237:AB241" si="36">AA237</f>
        <v>1439410.51</v>
      </c>
      <c r="AC237" s="28"/>
      <c r="AD237" s="28"/>
      <c r="AE237" s="37"/>
      <c r="AF237" s="19">
        <v>2021</v>
      </c>
      <c r="AG237" s="19">
        <v>2022</v>
      </c>
    </row>
    <row r="238" spans="1:33" ht="84.9" customHeight="1" x14ac:dyDescent="0.45">
      <c r="A238" s="19">
        <v>220</v>
      </c>
      <c r="B238" s="19" t="s">
        <v>587</v>
      </c>
      <c r="C238" s="19" t="s">
        <v>814</v>
      </c>
      <c r="D238" s="19">
        <v>1978</v>
      </c>
      <c r="E238" s="19">
        <v>9</v>
      </c>
      <c r="F238" s="19">
        <v>2</v>
      </c>
      <c r="G238" s="23">
        <v>4828.2</v>
      </c>
      <c r="H238" s="23">
        <v>3871.4</v>
      </c>
      <c r="I238" s="19" t="s">
        <v>364</v>
      </c>
      <c r="J238" s="19" t="s">
        <v>364</v>
      </c>
      <c r="K238" s="19" t="s">
        <v>365</v>
      </c>
      <c r="L238" s="19" t="s">
        <v>366</v>
      </c>
      <c r="M238" s="19"/>
      <c r="N238" s="28"/>
      <c r="O238" s="28"/>
      <c r="P238" s="28"/>
      <c r="Q238" s="28"/>
      <c r="R238" s="28">
        <v>961324.71</v>
      </c>
      <c r="S238" s="28"/>
      <c r="T238" s="28"/>
      <c r="U238" s="28"/>
      <c r="V238" s="28"/>
      <c r="W238" s="28"/>
      <c r="X238" s="28"/>
      <c r="Y238" s="28"/>
      <c r="Z238" s="28">
        <v>55000</v>
      </c>
      <c r="AA238" s="28">
        <f t="shared" ref="AA238:AA243" si="37">N238+O238+P238+Q238+R238+S238+T238+U238+V238+W238+X238+Y238+Z238</f>
        <v>1016324.71</v>
      </c>
      <c r="AB238" s="28"/>
      <c r="AC238" s="28"/>
      <c r="AD238" s="28">
        <f t="shared" ref="AD238:AD243" si="38">SUM(N238:Z238)</f>
        <v>1016324.71</v>
      </c>
      <c r="AE238" s="37"/>
      <c r="AF238" s="19">
        <v>2020</v>
      </c>
      <c r="AG238" s="19">
        <v>2022</v>
      </c>
    </row>
    <row r="239" spans="1:33" ht="84.9" customHeight="1" x14ac:dyDescent="0.45">
      <c r="A239" s="19">
        <v>221</v>
      </c>
      <c r="B239" s="19" t="s">
        <v>587</v>
      </c>
      <c r="C239" s="19" t="s">
        <v>815</v>
      </c>
      <c r="D239" s="19">
        <v>1958</v>
      </c>
      <c r="E239" s="19">
        <v>5</v>
      </c>
      <c r="F239" s="19">
        <v>3</v>
      </c>
      <c r="G239" s="23">
        <v>2821.5</v>
      </c>
      <c r="H239" s="23">
        <v>2070.1999999999998</v>
      </c>
      <c r="I239" s="19" t="s">
        <v>364</v>
      </c>
      <c r="J239" s="19" t="s">
        <v>364</v>
      </c>
      <c r="K239" s="19" t="s">
        <v>365</v>
      </c>
      <c r="L239" s="19" t="s">
        <v>366</v>
      </c>
      <c r="M239" s="19"/>
      <c r="N239" s="28"/>
      <c r="O239" s="28"/>
      <c r="P239" s="28"/>
      <c r="Q239" s="28"/>
      <c r="R239" s="28">
        <v>961324.71</v>
      </c>
      <c r="S239" s="28"/>
      <c r="T239" s="28"/>
      <c r="U239" s="28"/>
      <c r="V239" s="28"/>
      <c r="W239" s="28"/>
      <c r="X239" s="28"/>
      <c r="Y239" s="28"/>
      <c r="Z239" s="28">
        <v>55000</v>
      </c>
      <c r="AA239" s="28">
        <f t="shared" si="37"/>
        <v>1016324.71</v>
      </c>
      <c r="AB239" s="28"/>
      <c r="AC239" s="28"/>
      <c r="AD239" s="28">
        <f t="shared" si="38"/>
        <v>1016324.71</v>
      </c>
      <c r="AE239" s="37"/>
      <c r="AF239" s="19">
        <v>2020</v>
      </c>
      <c r="AG239" s="19">
        <v>2022</v>
      </c>
    </row>
    <row r="240" spans="1:33" ht="84.9" customHeight="1" x14ac:dyDescent="0.45">
      <c r="A240" s="19">
        <v>222</v>
      </c>
      <c r="B240" s="19" t="s">
        <v>587</v>
      </c>
      <c r="C240" s="19" t="s">
        <v>816</v>
      </c>
      <c r="D240" s="19">
        <v>1964</v>
      </c>
      <c r="E240" s="19">
        <v>5</v>
      </c>
      <c r="F240" s="19">
        <v>4</v>
      </c>
      <c r="G240" s="19">
        <v>3478.5</v>
      </c>
      <c r="H240" s="19">
        <f>2812.7+411.6</f>
        <v>3224.2999999999997</v>
      </c>
      <c r="I240" s="19">
        <v>2812.7</v>
      </c>
      <c r="J240" s="19">
        <v>93</v>
      </c>
      <c r="K240" s="19" t="s">
        <v>365</v>
      </c>
      <c r="L240" s="19" t="s">
        <v>366</v>
      </c>
      <c r="M240" s="19"/>
      <c r="N240" s="28"/>
      <c r="O240" s="28"/>
      <c r="P240" s="28"/>
      <c r="Q240" s="28"/>
      <c r="R240" s="28">
        <f t="shared" si="34"/>
        <v>1215410.51</v>
      </c>
      <c r="S240" s="28"/>
      <c r="T240" s="28"/>
      <c r="U240" s="28"/>
      <c r="V240" s="28"/>
      <c r="W240" s="28"/>
      <c r="X240" s="28"/>
      <c r="Y240" s="28"/>
      <c r="Z240" s="28">
        <v>224000</v>
      </c>
      <c r="AA240" s="28">
        <f t="shared" si="35"/>
        <v>1439410.51</v>
      </c>
      <c r="AB240" s="28">
        <f t="shared" si="36"/>
        <v>1439410.51</v>
      </c>
      <c r="AC240" s="28"/>
      <c r="AD240" s="28"/>
      <c r="AE240" s="37"/>
      <c r="AF240" s="19">
        <v>2021</v>
      </c>
      <c r="AG240" s="19">
        <v>2022</v>
      </c>
    </row>
    <row r="241" spans="1:33" ht="84.9" customHeight="1" x14ac:dyDescent="0.45">
      <c r="A241" s="19">
        <v>223</v>
      </c>
      <c r="B241" s="19" t="s">
        <v>587</v>
      </c>
      <c r="C241" s="19" t="s">
        <v>817</v>
      </c>
      <c r="D241" s="19">
        <v>1965</v>
      </c>
      <c r="E241" s="19">
        <v>5</v>
      </c>
      <c r="F241" s="19">
        <v>6</v>
      </c>
      <c r="G241" s="19">
        <v>5257.2</v>
      </c>
      <c r="H241" s="19">
        <f>4358.2+520.1</f>
        <v>4878.3</v>
      </c>
      <c r="I241" s="23">
        <v>4358.2</v>
      </c>
      <c r="J241" s="19" t="s">
        <v>364</v>
      </c>
      <c r="K241" s="19" t="s">
        <v>365</v>
      </c>
      <c r="L241" s="19" t="s">
        <v>366</v>
      </c>
      <c r="M241" s="19"/>
      <c r="N241" s="28"/>
      <c r="O241" s="28"/>
      <c r="P241" s="28"/>
      <c r="Q241" s="28"/>
      <c r="R241" s="28">
        <f t="shared" si="34"/>
        <v>1215410.51</v>
      </c>
      <c r="S241" s="28"/>
      <c r="T241" s="28"/>
      <c r="U241" s="28"/>
      <c r="V241" s="28"/>
      <c r="W241" s="28"/>
      <c r="X241" s="28"/>
      <c r="Y241" s="28"/>
      <c r="Z241" s="28">
        <v>224000</v>
      </c>
      <c r="AA241" s="28">
        <f t="shared" si="35"/>
        <v>1439410.51</v>
      </c>
      <c r="AB241" s="28">
        <f t="shared" si="36"/>
        <v>1439410.51</v>
      </c>
      <c r="AC241" s="28"/>
      <c r="AD241" s="28"/>
      <c r="AE241" s="37"/>
      <c r="AF241" s="19">
        <v>2021</v>
      </c>
      <c r="AG241" s="19">
        <v>2022</v>
      </c>
    </row>
    <row r="242" spans="1:33" ht="84.9" hidden="1" customHeight="1" x14ac:dyDescent="0.45">
      <c r="A242" s="19">
        <v>224</v>
      </c>
      <c r="B242" s="19" t="s">
        <v>587</v>
      </c>
      <c r="C242" s="19" t="s">
        <v>818</v>
      </c>
      <c r="D242" s="19">
        <v>1958</v>
      </c>
      <c r="E242" s="19">
        <v>4</v>
      </c>
      <c r="F242" s="19">
        <v>3</v>
      </c>
      <c r="G242" s="23">
        <v>3408.6</v>
      </c>
      <c r="H242" s="23">
        <v>3408.6</v>
      </c>
      <c r="I242" s="19">
        <v>2721.4</v>
      </c>
      <c r="J242" s="19">
        <v>89</v>
      </c>
      <c r="K242" s="19" t="s">
        <v>365</v>
      </c>
      <c r="L242" s="19" t="s">
        <v>366</v>
      </c>
      <c r="M242" s="19"/>
      <c r="N242" s="28"/>
      <c r="O242" s="28"/>
      <c r="P242" s="28"/>
      <c r="Q242" s="28"/>
      <c r="R242" s="28"/>
      <c r="S242" s="28"/>
      <c r="T242" s="28"/>
      <c r="U242" s="28"/>
      <c r="V242" s="28">
        <v>9665284.7599999998</v>
      </c>
      <c r="W242" s="28"/>
      <c r="X242" s="28"/>
      <c r="Y242" s="28"/>
      <c r="Z242" s="28">
        <v>594419.43999999994</v>
      </c>
      <c r="AA242" s="28">
        <f>SUM(V242+Z242)</f>
        <v>10259704.199999999</v>
      </c>
      <c r="AB242" s="28"/>
      <c r="AC242" s="28"/>
      <c r="AD242" s="28">
        <f>AA242</f>
        <v>10259704.199999999</v>
      </c>
      <c r="AE242" s="37"/>
      <c r="AF242" s="19">
        <v>2021</v>
      </c>
      <c r="AG242" s="19">
        <v>2022</v>
      </c>
    </row>
    <row r="243" spans="1:33" ht="84.9" hidden="1" customHeight="1" x14ac:dyDescent="0.45">
      <c r="A243" s="19">
        <v>225</v>
      </c>
      <c r="B243" s="19" t="s">
        <v>587</v>
      </c>
      <c r="C243" s="19" t="s">
        <v>819</v>
      </c>
      <c r="D243" s="43">
        <v>1965</v>
      </c>
      <c r="E243" s="19">
        <v>5</v>
      </c>
      <c r="F243" s="19">
        <v>3</v>
      </c>
      <c r="G243" s="23">
        <v>2834.5</v>
      </c>
      <c r="H243" s="23">
        <v>2528.1</v>
      </c>
      <c r="I243" s="23" t="s">
        <v>364</v>
      </c>
      <c r="J243" s="19" t="s">
        <v>364</v>
      </c>
      <c r="K243" s="19" t="s">
        <v>365</v>
      </c>
      <c r="L243" s="19" t="s">
        <v>366</v>
      </c>
      <c r="M243" s="19"/>
      <c r="N243" s="28"/>
      <c r="O243" s="28"/>
      <c r="P243" s="28"/>
      <c r="Q243" s="28"/>
      <c r="R243" s="28">
        <v>961324.71</v>
      </c>
      <c r="S243" s="28"/>
      <c r="T243" s="30"/>
      <c r="U243" s="28"/>
      <c r="V243" s="28"/>
      <c r="W243" s="28"/>
      <c r="X243" s="28"/>
      <c r="Y243" s="28"/>
      <c r="Z243" s="28">
        <v>55000</v>
      </c>
      <c r="AA243" s="28">
        <f t="shared" si="37"/>
        <v>1016324.71</v>
      </c>
      <c r="AB243" s="28"/>
      <c r="AC243" s="28"/>
      <c r="AD243" s="28">
        <f t="shared" si="38"/>
        <v>1016324.71</v>
      </c>
      <c r="AE243" s="37"/>
      <c r="AF243" s="19">
        <v>2020</v>
      </c>
      <c r="AG243" s="19">
        <v>2022</v>
      </c>
    </row>
    <row r="244" spans="1:33" ht="84.9" hidden="1" customHeight="1" x14ac:dyDescent="0.45">
      <c r="A244" s="19">
        <v>226</v>
      </c>
      <c r="B244" s="19" t="s">
        <v>587</v>
      </c>
      <c r="C244" s="19" t="s">
        <v>820</v>
      </c>
      <c r="D244" s="43">
        <v>1957</v>
      </c>
      <c r="E244" s="19">
        <v>5</v>
      </c>
      <c r="F244" s="19">
        <v>5</v>
      </c>
      <c r="G244" s="23">
        <v>5615.6</v>
      </c>
      <c r="H244" s="23">
        <v>5604</v>
      </c>
      <c r="I244" s="23">
        <v>3824.7</v>
      </c>
      <c r="J244" s="19">
        <v>131</v>
      </c>
      <c r="K244" s="19" t="s">
        <v>365</v>
      </c>
      <c r="L244" s="19" t="s">
        <v>366</v>
      </c>
      <c r="M244" s="19"/>
      <c r="N244" s="28"/>
      <c r="O244" s="28"/>
      <c r="P244" s="28"/>
      <c r="Q244" s="28"/>
      <c r="R244" s="28"/>
      <c r="S244" s="28"/>
      <c r="T244" s="30"/>
      <c r="U244" s="28"/>
      <c r="V244" s="28">
        <v>23659671.129999999</v>
      </c>
      <c r="W244" s="28"/>
      <c r="X244" s="28"/>
      <c r="Y244" s="28"/>
      <c r="Z244" s="28">
        <v>595415.22</v>
      </c>
      <c r="AA244" s="28">
        <f>SUM(V244+Z244)</f>
        <v>24255086.349999998</v>
      </c>
      <c r="AB244" s="28">
        <f>SUM(V244+Z244)</f>
        <v>24255086.349999998</v>
      </c>
      <c r="AC244" s="28"/>
      <c r="AD244" s="28"/>
      <c r="AE244" s="37"/>
      <c r="AF244" s="19">
        <v>2021</v>
      </c>
      <c r="AG244" s="19">
        <v>2022</v>
      </c>
    </row>
    <row r="245" spans="1:33" ht="84.9" hidden="1" customHeight="1" x14ac:dyDescent="0.45">
      <c r="A245" s="19">
        <v>227</v>
      </c>
      <c r="B245" s="19" t="s">
        <v>587</v>
      </c>
      <c r="C245" s="19" t="s">
        <v>719</v>
      </c>
      <c r="D245" s="19">
        <v>1963</v>
      </c>
      <c r="E245" s="19">
        <v>5</v>
      </c>
      <c r="F245" s="19">
        <v>5</v>
      </c>
      <c r="G245" s="23">
        <v>5042.3999999999996</v>
      </c>
      <c r="H245" s="23">
        <v>4589</v>
      </c>
      <c r="I245" s="19" t="s">
        <v>364</v>
      </c>
      <c r="J245" s="19" t="s">
        <v>364</v>
      </c>
      <c r="K245" s="19" t="s">
        <v>365</v>
      </c>
      <c r="L245" s="19" t="s">
        <v>366</v>
      </c>
      <c r="M245" s="19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>
        <v>16002411.35</v>
      </c>
      <c r="Y245" s="28"/>
      <c r="Z245" s="28">
        <v>979366.81</v>
      </c>
      <c r="AA245" s="28">
        <f>SUM(X245+Z245)</f>
        <v>16981778.16</v>
      </c>
      <c r="AB245" s="28"/>
      <c r="AC245" s="28"/>
      <c r="AD245" s="28">
        <f>AA245</f>
        <v>16981778.16</v>
      </c>
      <c r="AE245" s="37"/>
      <c r="AF245" s="19">
        <v>2021</v>
      </c>
      <c r="AG245" s="19">
        <v>2022</v>
      </c>
    </row>
    <row r="246" spans="1:33" ht="84.9" hidden="1" customHeight="1" x14ac:dyDescent="0.45">
      <c r="A246" s="19">
        <v>228</v>
      </c>
      <c r="B246" s="19" t="s">
        <v>587</v>
      </c>
      <c r="C246" s="19" t="s">
        <v>821</v>
      </c>
      <c r="D246" s="19">
        <v>1959</v>
      </c>
      <c r="E246" s="19">
        <v>5</v>
      </c>
      <c r="F246" s="19">
        <v>2</v>
      </c>
      <c r="G246" s="23">
        <v>1919.8</v>
      </c>
      <c r="H246" s="23">
        <v>1894.8</v>
      </c>
      <c r="I246" s="23" t="s">
        <v>364</v>
      </c>
      <c r="J246" s="19">
        <v>34</v>
      </c>
      <c r="K246" s="19" t="s">
        <v>365</v>
      </c>
      <c r="L246" s="19" t="s">
        <v>366</v>
      </c>
      <c r="M246" s="19"/>
      <c r="N246" s="28"/>
      <c r="O246" s="28"/>
      <c r="P246" s="28"/>
      <c r="Q246" s="28"/>
      <c r="R246" s="28"/>
      <c r="S246" s="28"/>
      <c r="T246" s="28"/>
      <c r="U246" s="28"/>
      <c r="V246" s="28" t="s">
        <v>720</v>
      </c>
      <c r="W246" s="28"/>
      <c r="X246" s="28" t="s">
        <v>720</v>
      </c>
      <c r="Y246" s="28"/>
      <c r="Z246" s="28">
        <v>774242.95</v>
      </c>
      <c r="AA246" s="28">
        <v>774242.95</v>
      </c>
      <c r="AB246" s="28">
        <v>774242.95</v>
      </c>
      <c r="AC246" s="28"/>
      <c r="AD246" s="28"/>
      <c r="AE246" s="37"/>
      <c r="AF246" s="19">
        <v>2020</v>
      </c>
      <c r="AG246" s="19">
        <v>2021</v>
      </c>
    </row>
    <row r="247" spans="1:33" ht="84.9" hidden="1" customHeight="1" x14ac:dyDescent="0.45">
      <c r="A247" s="19">
        <v>229</v>
      </c>
      <c r="B247" s="19" t="s">
        <v>587</v>
      </c>
      <c r="C247" s="19" t="s">
        <v>822</v>
      </c>
      <c r="D247" s="19">
        <v>1973</v>
      </c>
      <c r="E247" s="19">
        <v>9</v>
      </c>
      <c r="F247" s="19">
        <v>2</v>
      </c>
      <c r="G247" s="23">
        <v>4545.2</v>
      </c>
      <c r="H247" s="23">
        <v>3756.3</v>
      </c>
      <c r="I247" s="19" t="s">
        <v>364</v>
      </c>
      <c r="J247" s="19" t="s">
        <v>364</v>
      </c>
      <c r="K247" s="19" t="s">
        <v>423</v>
      </c>
      <c r="L247" s="19" t="s">
        <v>366</v>
      </c>
      <c r="M247" s="19"/>
      <c r="N247" s="28"/>
      <c r="O247" s="28"/>
      <c r="P247" s="28"/>
      <c r="Q247" s="28"/>
      <c r="R247" s="28"/>
      <c r="S247" s="28"/>
      <c r="T247" s="28"/>
      <c r="U247" s="28">
        <v>5923713.2400000002</v>
      </c>
      <c r="V247" s="28"/>
      <c r="W247" s="28"/>
      <c r="X247" s="28"/>
      <c r="Y247" s="28"/>
      <c r="Z247" s="28">
        <v>151890.07999999999</v>
      </c>
      <c r="AA247" s="28">
        <f>N247+O247+P247+Q247+R247+S247+T247+U247+V247+W247+X247+Y247+Z247</f>
        <v>6075603.3200000003</v>
      </c>
      <c r="AB247" s="28"/>
      <c r="AC247" s="28"/>
      <c r="AD247" s="28">
        <v>6075603.3200000003</v>
      </c>
      <c r="AE247" s="37"/>
      <c r="AF247" s="19">
        <v>2020</v>
      </c>
      <c r="AG247" s="19">
        <v>2022</v>
      </c>
    </row>
    <row r="248" spans="1:33" ht="113.25" hidden="1" customHeight="1" x14ac:dyDescent="0.45">
      <c r="A248" s="19">
        <v>230</v>
      </c>
      <c r="B248" s="19" t="s">
        <v>587</v>
      </c>
      <c r="C248" s="19" t="s">
        <v>823</v>
      </c>
      <c r="D248" s="19">
        <v>1961</v>
      </c>
      <c r="E248" s="19">
        <v>5</v>
      </c>
      <c r="F248" s="19">
        <v>6</v>
      </c>
      <c r="G248" s="23">
        <v>6143</v>
      </c>
      <c r="H248" s="23">
        <v>5751.6</v>
      </c>
      <c r="I248" s="19" t="s">
        <v>364</v>
      </c>
      <c r="J248" s="19" t="s">
        <v>364</v>
      </c>
      <c r="K248" s="19" t="s">
        <v>365</v>
      </c>
      <c r="L248" s="19" t="s">
        <v>449</v>
      </c>
      <c r="M248" s="19"/>
      <c r="N248" s="28"/>
      <c r="O248" s="28"/>
      <c r="P248" s="28"/>
      <c r="Q248" s="28"/>
      <c r="R248" s="28"/>
      <c r="S248" s="28"/>
      <c r="T248" s="28"/>
      <c r="U248" s="28"/>
      <c r="V248" s="28">
        <v>21759449.379999999</v>
      </c>
      <c r="W248" s="28"/>
      <c r="X248" s="28">
        <v>20056541.539999999</v>
      </c>
      <c r="Y248" s="28"/>
      <c r="Z248" s="28">
        <v>654325.73</v>
      </c>
      <c r="AA248" s="28">
        <f t="shared" ref="AA248:AA251" si="39">SUM(N248:Z248)</f>
        <v>42470316.649999999</v>
      </c>
      <c r="AB248" s="28">
        <f>SUM(V248+X248+Z248)</f>
        <v>42470316.649999999</v>
      </c>
      <c r="AC248" s="28"/>
      <c r="AD248" s="28"/>
      <c r="AE248" s="37"/>
      <c r="AF248" s="19">
        <v>2021</v>
      </c>
      <c r="AG248" s="19">
        <v>2022</v>
      </c>
    </row>
    <row r="249" spans="1:33" ht="84.9" hidden="1" customHeight="1" x14ac:dyDescent="0.45">
      <c r="A249" s="19">
        <v>231</v>
      </c>
      <c r="B249" s="19" t="s">
        <v>587</v>
      </c>
      <c r="C249" s="19" t="s">
        <v>824</v>
      </c>
      <c r="D249" s="19">
        <v>1960</v>
      </c>
      <c r="E249" s="19">
        <v>5</v>
      </c>
      <c r="F249" s="19">
        <v>3</v>
      </c>
      <c r="G249" s="23">
        <v>2757.8</v>
      </c>
      <c r="H249" s="23">
        <v>2566.1999999999998</v>
      </c>
      <c r="I249" s="19" t="s">
        <v>364</v>
      </c>
      <c r="J249" s="19" t="s">
        <v>364</v>
      </c>
      <c r="K249" s="19" t="s">
        <v>365</v>
      </c>
      <c r="L249" s="19" t="s">
        <v>366</v>
      </c>
      <c r="M249" s="19"/>
      <c r="N249" s="28"/>
      <c r="O249" s="28"/>
      <c r="P249" s="28"/>
      <c r="Q249" s="28"/>
      <c r="R249" s="28"/>
      <c r="S249" s="28"/>
      <c r="T249" s="28"/>
      <c r="U249" s="28"/>
      <c r="V249" s="28" t="s">
        <v>720</v>
      </c>
      <c r="W249" s="28"/>
      <c r="X249" s="28" t="s">
        <v>720</v>
      </c>
      <c r="Y249" s="28"/>
      <c r="Z249" s="28">
        <v>252739.42</v>
      </c>
      <c r="AA249" s="28">
        <f t="shared" si="39"/>
        <v>252739.42</v>
      </c>
      <c r="AB249" s="28">
        <v>252739.42</v>
      </c>
      <c r="AC249" s="28"/>
      <c r="AD249" s="28"/>
      <c r="AE249" s="37"/>
      <c r="AF249" s="19">
        <v>2020</v>
      </c>
      <c r="AG249" s="19">
        <v>2021</v>
      </c>
    </row>
    <row r="250" spans="1:33" ht="113.25" hidden="1" customHeight="1" x14ac:dyDescent="0.45">
      <c r="A250" s="19">
        <v>232</v>
      </c>
      <c r="B250" s="19" t="s">
        <v>587</v>
      </c>
      <c r="C250" s="19" t="s">
        <v>825</v>
      </c>
      <c r="D250" s="19">
        <v>1963</v>
      </c>
      <c r="E250" s="19">
        <v>5</v>
      </c>
      <c r="F250" s="19">
        <v>2</v>
      </c>
      <c r="G250" s="23">
        <v>2059.4</v>
      </c>
      <c r="H250" s="23">
        <v>1924.5</v>
      </c>
      <c r="I250" s="19" t="s">
        <v>364</v>
      </c>
      <c r="J250" s="19" t="s">
        <v>364</v>
      </c>
      <c r="K250" s="19" t="s">
        <v>460</v>
      </c>
      <c r="L250" s="19" t="s">
        <v>449</v>
      </c>
      <c r="M250" s="19"/>
      <c r="N250" s="28"/>
      <c r="O250" s="28"/>
      <c r="P250" s="28"/>
      <c r="Q250" s="28"/>
      <c r="R250" s="28"/>
      <c r="S250" s="28"/>
      <c r="T250" s="28"/>
      <c r="U250" s="28"/>
      <c r="V250" s="28" t="s">
        <v>720</v>
      </c>
      <c r="W250" s="28"/>
      <c r="X250" s="28" t="s">
        <v>720</v>
      </c>
      <c r="Y250" s="28"/>
      <c r="Z250" s="28">
        <v>528328.23</v>
      </c>
      <c r="AA250" s="28">
        <f t="shared" si="39"/>
        <v>528328.23</v>
      </c>
      <c r="AB250" s="28">
        <v>528328.23</v>
      </c>
      <c r="AC250" s="28"/>
      <c r="AD250" s="28"/>
      <c r="AE250" s="37"/>
      <c r="AF250" s="19">
        <v>2020</v>
      </c>
      <c r="AG250" s="19">
        <v>2021</v>
      </c>
    </row>
    <row r="251" spans="1:33" ht="84.9" hidden="1" customHeight="1" x14ac:dyDescent="0.45">
      <c r="A251" s="19">
        <v>233</v>
      </c>
      <c r="B251" s="19" t="s">
        <v>587</v>
      </c>
      <c r="C251" s="19" t="s">
        <v>826</v>
      </c>
      <c r="D251" s="19">
        <v>1960</v>
      </c>
      <c r="E251" s="19">
        <v>5</v>
      </c>
      <c r="F251" s="19">
        <v>3</v>
      </c>
      <c r="G251" s="23">
        <v>3212.2</v>
      </c>
      <c r="H251" s="23">
        <v>3017.6</v>
      </c>
      <c r="I251" s="19" t="s">
        <v>364</v>
      </c>
      <c r="J251" s="19" t="s">
        <v>364</v>
      </c>
      <c r="K251" s="19" t="s">
        <v>365</v>
      </c>
      <c r="L251" s="19" t="s">
        <v>366</v>
      </c>
      <c r="M251" s="19"/>
      <c r="N251" s="28"/>
      <c r="O251" s="28"/>
      <c r="P251" s="28"/>
      <c r="Q251" s="28"/>
      <c r="R251" s="28"/>
      <c r="S251" s="28"/>
      <c r="T251" s="28"/>
      <c r="U251" s="28"/>
      <c r="V251" s="28" t="s">
        <v>720</v>
      </c>
      <c r="W251" s="28"/>
      <c r="X251" s="28" t="s">
        <v>720</v>
      </c>
      <c r="Y251" s="28"/>
      <c r="Z251" s="28">
        <v>260488.85</v>
      </c>
      <c r="AA251" s="28">
        <f t="shared" si="39"/>
        <v>260488.85</v>
      </c>
      <c r="AB251" s="28">
        <v>260488.85</v>
      </c>
      <c r="AC251" s="28"/>
      <c r="AD251" s="28"/>
      <c r="AE251" s="37"/>
      <c r="AF251" s="19">
        <v>2020</v>
      </c>
      <c r="AG251" s="19">
        <v>2021</v>
      </c>
    </row>
    <row r="252" spans="1:33" ht="84.9" hidden="1" customHeight="1" x14ac:dyDescent="0.45">
      <c r="A252" s="19">
        <v>234</v>
      </c>
      <c r="B252" s="19" t="s">
        <v>587</v>
      </c>
      <c r="C252" s="19" t="s">
        <v>827</v>
      </c>
      <c r="D252" s="19">
        <v>1963</v>
      </c>
      <c r="E252" s="19">
        <v>5</v>
      </c>
      <c r="F252" s="19">
        <v>3</v>
      </c>
      <c r="G252" s="23">
        <v>2606.8000000000002</v>
      </c>
      <c r="H252" s="23">
        <v>2575.6999999999998</v>
      </c>
      <c r="I252" s="19">
        <v>1706</v>
      </c>
      <c r="J252" s="19">
        <v>132</v>
      </c>
      <c r="K252" s="19" t="s">
        <v>365</v>
      </c>
      <c r="L252" s="19" t="s">
        <v>366</v>
      </c>
      <c r="M252" s="19"/>
      <c r="N252" s="28"/>
      <c r="O252" s="28"/>
      <c r="P252" s="28"/>
      <c r="Q252" s="28"/>
      <c r="R252" s="28"/>
      <c r="S252" s="28"/>
      <c r="T252" s="28"/>
      <c r="U252" s="28"/>
      <c r="V252" s="28">
        <v>6646890.1799999997</v>
      </c>
      <c r="W252" s="28"/>
      <c r="X252" s="28">
        <v>8386888.0099999998</v>
      </c>
      <c r="Y252" s="28"/>
      <c r="Z252" s="28">
        <v>1055428.97</v>
      </c>
      <c r="AA252" s="28">
        <f>SUM(V252+X252+Z252)</f>
        <v>16089207.16</v>
      </c>
      <c r="AB252" s="28"/>
      <c r="AC252" s="30"/>
      <c r="AD252" s="28">
        <f t="shared" ref="AD252:AD254" si="40">AA252</f>
        <v>16089207.16</v>
      </c>
      <c r="AE252" s="37"/>
      <c r="AF252" s="19">
        <v>2021</v>
      </c>
      <c r="AG252" s="19">
        <v>2022</v>
      </c>
    </row>
    <row r="253" spans="1:33" ht="84.9" hidden="1" customHeight="1" x14ac:dyDescent="0.45">
      <c r="A253" s="19">
        <v>235</v>
      </c>
      <c r="B253" s="19" t="s">
        <v>587</v>
      </c>
      <c r="C253" s="19" t="s">
        <v>828</v>
      </c>
      <c r="D253" s="19">
        <v>1962</v>
      </c>
      <c r="E253" s="19">
        <v>5</v>
      </c>
      <c r="F253" s="19">
        <v>3</v>
      </c>
      <c r="G253" s="23">
        <v>2543</v>
      </c>
      <c r="H253" s="23">
        <v>2497</v>
      </c>
      <c r="I253" s="19">
        <v>2440</v>
      </c>
      <c r="J253" s="19">
        <v>123</v>
      </c>
      <c r="K253" s="19" t="s">
        <v>365</v>
      </c>
      <c r="L253" s="19" t="s">
        <v>366</v>
      </c>
      <c r="M253" s="19"/>
      <c r="N253" s="28"/>
      <c r="O253" s="28"/>
      <c r="P253" s="28"/>
      <c r="Q253" s="28"/>
      <c r="R253" s="28"/>
      <c r="S253" s="28"/>
      <c r="T253" s="28">
        <v>922403.64</v>
      </c>
      <c r="U253" s="28"/>
      <c r="V253" s="28"/>
      <c r="W253" s="28"/>
      <c r="X253" s="28"/>
      <c r="Y253" s="28"/>
      <c r="Z253" s="28">
        <v>807934.19</v>
      </c>
      <c r="AA253" s="28">
        <f t="shared" ref="AA253:AA259" si="41">SUM(N253:Z253)</f>
        <v>1730337.83</v>
      </c>
      <c r="AB253" s="28"/>
      <c r="AC253" s="28"/>
      <c r="AD253" s="28">
        <f t="shared" si="40"/>
        <v>1730337.83</v>
      </c>
      <c r="AE253" s="37"/>
      <c r="AF253" s="19">
        <v>2021</v>
      </c>
      <c r="AG253" s="19">
        <v>2022</v>
      </c>
    </row>
    <row r="254" spans="1:33" ht="84.9" hidden="1" customHeight="1" x14ac:dyDescent="0.45">
      <c r="A254" s="19">
        <v>236</v>
      </c>
      <c r="B254" s="19" t="s">
        <v>587</v>
      </c>
      <c r="C254" s="19" t="s">
        <v>829</v>
      </c>
      <c r="D254" s="19">
        <v>1962</v>
      </c>
      <c r="E254" s="19">
        <v>4</v>
      </c>
      <c r="F254" s="19">
        <v>4</v>
      </c>
      <c r="G254" s="23">
        <v>2985.5</v>
      </c>
      <c r="H254" s="23">
        <v>2985.5</v>
      </c>
      <c r="I254" s="19">
        <v>1632.4</v>
      </c>
      <c r="J254" s="19">
        <v>127</v>
      </c>
      <c r="K254" s="19" t="s">
        <v>365</v>
      </c>
      <c r="L254" s="19" t="s">
        <v>366</v>
      </c>
      <c r="M254" s="19"/>
      <c r="N254" s="28"/>
      <c r="O254" s="28"/>
      <c r="P254" s="28"/>
      <c r="Q254" s="28"/>
      <c r="R254" s="28"/>
      <c r="S254" s="28"/>
      <c r="T254" s="28"/>
      <c r="U254" s="28"/>
      <c r="V254" s="28">
        <v>18106937.93</v>
      </c>
      <c r="W254" s="28"/>
      <c r="X254" s="28"/>
      <c r="Y254" s="28"/>
      <c r="Z254" s="28">
        <v>819581.62</v>
      </c>
      <c r="AA254" s="28">
        <f t="shared" si="41"/>
        <v>18926519.550000001</v>
      </c>
      <c r="AB254" s="28"/>
      <c r="AC254" s="28"/>
      <c r="AD254" s="28">
        <f t="shared" si="40"/>
        <v>18926519.550000001</v>
      </c>
      <c r="AE254" s="37"/>
      <c r="AF254" s="19">
        <v>2021</v>
      </c>
      <c r="AG254" s="19">
        <v>2022</v>
      </c>
    </row>
    <row r="255" spans="1:33" ht="84.9" hidden="1" customHeight="1" x14ac:dyDescent="0.45">
      <c r="A255" s="19">
        <v>237</v>
      </c>
      <c r="B255" s="19" t="s">
        <v>587</v>
      </c>
      <c r="C255" s="19" t="s">
        <v>830</v>
      </c>
      <c r="D255" s="43">
        <v>1985</v>
      </c>
      <c r="E255" s="19">
        <v>9</v>
      </c>
      <c r="F255" s="19">
        <v>1</v>
      </c>
      <c r="G255" s="23">
        <v>1001.7</v>
      </c>
      <c r="H255" s="23">
        <v>849.5</v>
      </c>
      <c r="I255" s="23" t="s">
        <v>364</v>
      </c>
      <c r="J255" s="19" t="s">
        <v>364</v>
      </c>
      <c r="K255" s="19" t="s">
        <v>365</v>
      </c>
      <c r="L255" s="19" t="s">
        <v>366</v>
      </c>
      <c r="M255" s="19"/>
      <c r="N255" s="28"/>
      <c r="O255" s="28" t="s">
        <v>831</v>
      </c>
      <c r="P255" s="28"/>
      <c r="Q255" s="28"/>
      <c r="R255" s="28"/>
      <c r="S255" s="28"/>
      <c r="T255" s="30"/>
      <c r="U255" s="28"/>
      <c r="V255" s="28"/>
      <c r="W255" s="28"/>
      <c r="X255" s="28"/>
      <c r="Y255" s="28"/>
      <c r="Z255" s="28">
        <v>152320.10999999999</v>
      </c>
      <c r="AA255" s="28">
        <v>2690988.62</v>
      </c>
      <c r="AB255" s="28">
        <v>2690988.62</v>
      </c>
      <c r="AC255" s="28"/>
      <c r="AD255" s="30"/>
      <c r="AE255" s="37"/>
      <c r="AF255" s="19">
        <v>2021</v>
      </c>
      <c r="AG255" s="19">
        <v>2021</v>
      </c>
    </row>
    <row r="256" spans="1:33" ht="113.25" hidden="1" customHeight="1" x14ac:dyDescent="0.45">
      <c r="A256" s="19">
        <v>238</v>
      </c>
      <c r="B256" s="19" t="s">
        <v>587</v>
      </c>
      <c r="C256" s="19" t="s">
        <v>832</v>
      </c>
      <c r="D256" s="19">
        <v>1959</v>
      </c>
      <c r="E256" s="19">
        <v>5</v>
      </c>
      <c r="F256" s="19">
        <v>2</v>
      </c>
      <c r="G256" s="23">
        <v>1935.5</v>
      </c>
      <c r="H256" s="23">
        <v>1395.7</v>
      </c>
      <c r="I256" s="23" t="s">
        <v>364</v>
      </c>
      <c r="J256" s="19">
        <v>59</v>
      </c>
      <c r="K256" s="19" t="s">
        <v>365</v>
      </c>
      <c r="L256" s="19" t="s">
        <v>449</v>
      </c>
      <c r="M256" s="19"/>
      <c r="N256" s="28"/>
      <c r="O256" s="28"/>
      <c r="P256" s="28"/>
      <c r="Q256" s="28"/>
      <c r="R256" s="28"/>
      <c r="S256" s="28"/>
      <c r="T256" s="28"/>
      <c r="U256" s="28"/>
      <c r="V256" s="28">
        <v>7102278.4199999999</v>
      </c>
      <c r="W256" s="28"/>
      <c r="X256" s="28">
        <v>6448407.46</v>
      </c>
      <c r="Y256" s="28"/>
      <c r="Z256" s="28">
        <v>648331.81000000006</v>
      </c>
      <c r="AA256" s="28">
        <f>SUM(V256+X256+Z256)</f>
        <v>14199017.689999999</v>
      </c>
      <c r="AB256" s="28">
        <f>SUM(V256+X256+Z256)</f>
        <v>14199017.689999999</v>
      </c>
      <c r="AC256" s="28"/>
      <c r="AD256" s="28"/>
      <c r="AE256" s="37"/>
      <c r="AF256" s="19">
        <v>2021</v>
      </c>
      <c r="AG256" s="19">
        <v>2022</v>
      </c>
    </row>
    <row r="257" spans="1:33" ht="94.5" hidden="1" customHeight="1" x14ac:dyDescent="0.45">
      <c r="A257" s="19">
        <v>239</v>
      </c>
      <c r="B257" s="19" t="s">
        <v>587</v>
      </c>
      <c r="C257" s="19" t="s">
        <v>833</v>
      </c>
      <c r="D257" s="19">
        <v>1980</v>
      </c>
      <c r="E257" s="19">
        <v>5</v>
      </c>
      <c r="F257" s="19">
        <v>2</v>
      </c>
      <c r="G257" s="23">
        <v>1907.9</v>
      </c>
      <c r="H257" s="23">
        <v>1781.8</v>
      </c>
      <c r="I257" s="23">
        <v>1366.6</v>
      </c>
      <c r="J257" s="19">
        <v>55</v>
      </c>
      <c r="K257" s="19" t="s">
        <v>365</v>
      </c>
      <c r="L257" s="19" t="s">
        <v>366</v>
      </c>
      <c r="M257" s="19"/>
      <c r="N257" s="28"/>
      <c r="O257" s="28"/>
      <c r="P257" s="28"/>
      <c r="Q257" s="28"/>
      <c r="R257" s="28">
        <v>1215410.51</v>
      </c>
      <c r="S257" s="28"/>
      <c r="T257" s="28"/>
      <c r="U257" s="28"/>
      <c r="V257" s="28"/>
      <c r="W257" s="28"/>
      <c r="X257" s="28"/>
      <c r="Y257" s="28"/>
      <c r="Z257" s="28">
        <v>71846.929999999993</v>
      </c>
      <c r="AA257" s="28">
        <v>1287257.44</v>
      </c>
      <c r="AB257" s="28"/>
      <c r="AC257" s="28"/>
      <c r="AD257" s="28">
        <v>1287257.44</v>
      </c>
      <c r="AE257" s="37"/>
      <c r="AF257" s="19">
        <v>2021</v>
      </c>
      <c r="AG257" s="19">
        <v>2022</v>
      </c>
    </row>
    <row r="258" spans="1:33" ht="84.9" hidden="1" customHeight="1" x14ac:dyDescent="0.45">
      <c r="A258" s="19">
        <v>240</v>
      </c>
      <c r="B258" s="19" t="s">
        <v>587</v>
      </c>
      <c r="C258" s="19" t="s">
        <v>834</v>
      </c>
      <c r="D258" s="19">
        <v>1961</v>
      </c>
      <c r="E258" s="19">
        <v>4</v>
      </c>
      <c r="F258" s="19">
        <v>2</v>
      </c>
      <c r="G258" s="23">
        <v>1571.2</v>
      </c>
      <c r="H258" s="23">
        <v>1571.2</v>
      </c>
      <c r="I258" s="23">
        <v>1254</v>
      </c>
      <c r="J258" s="19">
        <v>60</v>
      </c>
      <c r="K258" s="19" t="s">
        <v>365</v>
      </c>
      <c r="L258" s="19" t="s">
        <v>366</v>
      </c>
      <c r="M258" s="19"/>
      <c r="N258" s="28"/>
      <c r="O258" s="28"/>
      <c r="P258" s="28"/>
      <c r="Q258" s="28"/>
      <c r="R258" s="28"/>
      <c r="S258" s="28"/>
      <c r="T258" s="28"/>
      <c r="U258" s="28"/>
      <c r="V258" s="28">
        <v>7605459.7800000003</v>
      </c>
      <c r="W258" s="28"/>
      <c r="X258" s="28"/>
      <c r="Y258" s="28"/>
      <c r="Z258" s="28">
        <v>705473.56</v>
      </c>
      <c r="AA258" s="28">
        <f t="shared" si="41"/>
        <v>8310933.3399999999</v>
      </c>
      <c r="AB258" s="28"/>
      <c r="AC258" s="28"/>
      <c r="AD258" s="28">
        <f>AA258</f>
        <v>8310933.3399999999</v>
      </c>
      <c r="AE258" s="37"/>
      <c r="AF258" s="19">
        <v>2021</v>
      </c>
      <c r="AG258" s="19">
        <v>2022</v>
      </c>
    </row>
    <row r="259" spans="1:33" ht="84.9" hidden="1" customHeight="1" x14ac:dyDescent="0.45">
      <c r="A259" s="19">
        <v>241</v>
      </c>
      <c r="B259" s="19" t="s">
        <v>587</v>
      </c>
      <c r="C259" s="19" t="s">
        <v>518</v>
      </c>
      <c r="D259" s="19">
        <v>1951</v>
      </c>
      <c r="E259" s="19">
        <v>2</v>
      </c>
      <c r="F259" s="19">
        <v>2</v>
      </c>
      <c r="G259" s="23">
        <v>954.8</v>
      </c>
      <c r="H259" s="23">
        <v>954.8</v>
      </c>
      <c r="I259" s="23">
        <v>592.20000000000005</v>
      </c>
      <c r="J259" s="19">
        <v>33</v>
      </c>
      <c r="K259" s="19" t="s">
        <v>460</v>
      </c>
      <c r="L259" s="19" t="s">
        <v>366</v>
      </c>
      <c r="M259" s="19"/>
      <c r="N259" s="28"/>
      <c r="O259" s="28"/>
      <c r="P259" s="28"/>
      <c r="Q259" s="28"/>
      <c r="R259" s="28"/>
      <c r="S259" s="28"/>
      <c r="T259" s="28"/>
      <c r="U259" s="28"/>
      <c r="V259" s="28">
        <v>8378360.1200000001</v>
      </c>
      <c r="W259" s="28"/>
      <c r="X259" s="28"/>
      <c r="Y259" s="28"/>
      <c r="Z259" s="28">
        <v>551519.51</v>
      </c>
      <c r="AA259" s="28">
        <f t="shared" si="41"/>
        <v>8929879.6300000008</v>
      </c>
      <c r="AB259" s="28"/>
      <c r="AC259" s="28"/>
      <c r="AD259" s="28">
        <f>AA259</f>
        <v>8929879.6300000008</v>
      </c>
      <c r="AE259" s="37"/>
      <c r="AF259" s="19">
        <v>2021</v>
      </c>
      <c r="AG259" s="19">
        <v>2022</v>
      </c>
    </row>
    <row r="260" spans="1:33" ht="84.9" hidden="1" customHeight="1" x14ac:dyDescent="0.45">
      <c r="A260" s="19">
        <v>242</v>
      </c>
      <c r="B260" s="19" t="s">
        <v>587</v>
      </c>
      <c r="C260" s="19" t="s">
        <v>835</v>
      </c>
      <c r="D260" s="19">
        <v>1968</v>
      </c>
      <c r="E260" s="19">
        <v>5</v>
      </c>
      <c r="F260" s="19">
        <v>4</v>
      </c>
      <c r="G260" s="23">
        <v>3282.3</v>
      </c>
      <c r="H260" s="23">
        <v>2964.2</v>
      </c>
      <c r="I260" s="23">
        <v>2964.2</v>
      </c>
      <c r="J260" s="19">
        <v>129</v>
      </c>
      <c r="K260" s="19" t="s">
        <v>365</v>
      </c>
      <c r="L260" s="19" t="s">
        <v>366</v>
      </c>
      <c r="M260" s="19"/>
      <c r="N260" s="28"/>
      <c r="O260" s="28" t="s">
        <v>740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>
        <v>150069.07</v>
      </c>
      <c r="AA260" s="28">
        <v>2501151.2400000002</v>
      </c>
      <c r="AB260" s="28">
        <v>2501151.2400000002</v>
      </c>
      <c r="AC260" s="28"/>
      <c r="AD260" s="28"/>
      <c r="AE260" s="37"/>
      <c r="AF260" s="19">
        <v>2021</v>
      </c>
      <c r="AG260" s="19">
        <v>2021</v>
      </c>
    </row>
    <row r="261" spans="1:33" ht="84.9" hidden="1" customHeight="1" x14ac:dyDescent="0.45">
      <c r="A261" s="19">
        <v>243</v>
      </c>
      <c r="B261" s="19" t="s">
        <v>587</v>
      </c>
      <c r="C261" s="19" t="s">
        <v>836</v>
      </c>
      <c r="D261" s="19">
        <v>1968</v>
      </c>
      <c r="E261" s="19">
        <v>5</v>
      </c>
      <c r="F261" s="19">
        <v>4</v>
      </c>
      <c r="G261" s="23">
        <v>4389.7</v>
      </c>
      <c r="H261" s="23">
        <v>4375.5</v>
      </c>
      <c r="I261" s="23">
        <v>4375.5</v>
      </c>
      <c r="J261" s="19">
        <v>215</v>
      </c>
      <c r="K261" s="19" t="s">
        <v>365</v>
      </c>
      <c r="L261" s="19" t="s">
        <v>366</v>
      </c>
      <c r="M261" s="19"/>
      <c r="N261" s="28"/>
      <c r="O261" s="28" t="s">
        <v>740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>
        <v>150069.07</v>
      </c>
      <c r="AA261" s="28">
        <v>2501151.2400000002</v>
      </c>
      <c r="AB261" s="28">
        <v>2501151.2400000002</v>
      </c>
      <c r="AC261" s="28"/>
      <c r="AD261" s="28"/>
      <c r="AE261" s="37"/>
      <c r="AF261" s="19">
        <v>2021</v>
      </c>
      <c r="AG261" s="19">
        <v>2021</v>
      </c>
    </row>
    <row r="262" spans="1:33" ht="84.9" hidden="1" customHeight="1" x14ac:dyDescent="0.45">
      <c r="A262" s="19">
        <v>244</v>
      </c>
      <c r="B262" s="19" t="s">
        <v>587</v>
      </c>
      <c r="C262" s="19" t="s">
        <v>837</v>
      </c>
      <c r="D262" s="19">
        <v>1968</v>
      </c>
      <c r="E262" s="19">
        <v>5</v>
      </c>
      <c r="F262" s="19">
        <v>4</v>
      </c>
      <c r="G262" s="23">
        <v>2823.2</v>
      </c>
      <c r="H262" s="23">
        <v>1947.1</v>
      </c>
      <c r="I262" s="23">
        <v>1929.9</v>
      </c>
      <c r="J262" s="19">
        <v>124</v>
      </c>
      <c r="K262" s="19" t="s">
        <v>365</v>
      </c>
      <c r="L262" s="19" t="s">
        <v>366</v>
      </c>
      <c r="M262" s="19"/>
      <c r="N262" s="28"/>
      <c r="O262" s="28" t="s">
        <v>740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>
        <v>150069.07</v>
      </c>
      <c r="AA262" s="28">
        <v>2501151.2400000002</v>
      </c>
      <c r="AB262" s="28">
        <v>2501151.2400000002</v>
      </c>
      <c r="AC262" s="28"/>
      <c r="AD262" s="28"/>
      <c r="AE262" s="37"/>
      <c r="AF262" s="19">
        <v>2021</v>
      </c>
      <c r="AG262" s="19">
        <v>2021</v>
      </c>
    </row>
    <row r="263" spans="1:33" ht="84.9" hidden="1" customHeight="1" x14ac:dyDescent="0.45">
      <c r="A263" s="19">
        <v>245</v>
      </c>
      <c r="B263" s="19" t="s">
        <v>587</v>
      </c>
      <c r="C263" s="19" t="s">
        <v>317</v>
      </c>
      <c r="D263" s="19">
        <v>1968</v>
      </c>
      <c r="E263" s="19">
        <v>5</v>
      </c>
      <c r="F263" s="19">
        <v>4</v>
      </c>
      <c r="G263" s="23">
        <v>3939</v>
      </c>
      <c r="H263" s="23">
        <v>3927.1</v>
      </c>
      <c r="I263" s="23">
        <v>2556.6999999999998</v>
      </c>
      <c r="J263" s="19">
        <v>100</v>
      </c>
      <c r="K263" s="19" t="s">
        <v>365</v>
      </c>
      <c r="L263" s="19" t="s">
        <v>366</v>
      </c>
      <c r="M263" s="19"/>
      <c r="N263" s="28"/>
      <c r="O263" s="28" t="s">
        <v>740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>
        <v>150069.07</v>
      </c>
      <c r="AA263" s="28">
        <v>2501151.2400000002</v>
      </c>
      <c r="AB263" s="28">
        <v>2501151.2400000002</v>
      </c>
      <c r="AC263" s="28"/>
      <c r="AD263" s="28"/>
      <c r="AE263" s="37"/>
      <c r="AF263" s="19">
        <v>2021</v>
      </c>
      <c r="AG263" s="19">
        <v>2021</v>
      </c>
    </row>
    <row r="264" spans="1:33" ht="84.9" hidden="1" customHeight="1" x14ac:dyDescent="0.45">
      <c r="A264" s="19">
        <v>246</v>
      </c>
      <c r="B264" s="19" t="s">
        <v>587</v>
      </c>
      <c r="C264" s="19" t="s">
        <v>838</v>
      </c>
      <c r="D264" s="43">
        <v>1969</v>
      </c>
      <c r="E264" s="19">
        <v>9</v>
      </c>
      <c r="F264" s="19">
        <v>1</v>
      </c>
      <c r="G264" s="23">
        <v>2644.6</v>
      </c>
      <c r="H264" s="23">
        <v>2167.4</v>
      </c>
      <c r="I264" s="23" t="s">
        <v>364</v>
      </c>
      <c r="J264" s="19" t="s">
        <v>364</v>
      </c>
      <c r="K264" s="19" t="s">
        <v>365</v>
      </c>
      <c r="L264" s="19" t="s">
        <v>366</v>
      </c>
      <c r="M264" s="19"/>
      <c r="N264" s="28"/>
      <c r="O264" s="28"/>
      <c r="P264" s="28"/>
      <c r="Q264" s="28"/>
      <c r="R264" s="28">
        <v>961324.71</v>
      </c>
      <c r="S264" s="28"/>
      <c r="T264" s="30"/>
      <c r="U264" s="28"/>
      <c r="V264" s="28"/>
      <c r="W264" s="28"/>
      <c r="X264" s="28"/>
      <c r="Y264" s="28"/>
      <c r="Z264" s="28">
        <v>55000</v>
      </c>
      <c r="AA264" s="28">
        <f>SUM(N264:Z264)</f>
        <v>1016324.71</v>
      </c>
      <c r="AB264" s="28"/>
      <c r="AC264" s="28"/>
      <c r="AD264" s="28">
        <f>SUM(N264:Z264)</f>
        <v>1016324.71</v>
      </c>
      <c r="AE264" s="37"/>
      <c r="AF264" s="19">
        <v>2020</v>
      </c>
      <c r="AG264" s="19">
        <v>2022</v>
      </c>
    </row>
    <row r="265" spans="1:33" ht="84.9" hidden="1" customHeight="1" x14ac:dyDescent="0.45">
      <c r="A265" s="19">
        <v>247</v>
      </c>
      <c r="B265" s="19" t="s">
        <v>587</v>
      </c>
      <c r="C265" s="19" t="s">
        <v>839</v>
      </c>
      <c r="D265" s="43">
        <v>1963</v>
      </c>
      <c r="E265" s="19">
        <v>5</v>
      </c>
      <c r="F265" s="19">
        <v>2</v>
      </c>
      <c r="G265" s="23">
        <v>1643.9</v>
      </c>
      <c r="H265" s="23">
        <v>1312.1</v>
      </c>
      <c r="I265" s="23" t="s">
        <v>364</v>
      </c>
      <c r="J265" s="19" t="s">
        <v>364</v>
      </c>
      <c r="K265" s="19" t="s">
        <v>365</v>
      </c>
      <c r="L265" s="19" t="s">
        <v>366</v>
      </c>
      <c r="M265" s="19"/>
      <c r="N265" s="28"/>
      <c r="O265" s="28"/>
      <c r="P265" s="28"/>
      <c r="Q265" s="28"/>
      <c r="R265" s="28">
        <v>961324.71</v>
      </c>
      <c r="S265" s="28"/>
      <c r="T265" s="30"/>
      <c r="U265" s="28"/>
      <c r="V265" s="28"/>
      <c r="W265" s="28"/>
      <c r="X265" s="28"/>
      <c r="Y265" s="28"/>
      <c r="Z265" s="28">
        <v>55000</v>
      </c>
      <c r="AA265" s="28">
        <v>1016324.71</v>
      </c>
      <c r="AB265" s="28"/>
      <c r="AC265" s="28"/>
      <c r="AD265" s="28">
        <v>1016324.71</v>
      </c>
      <c r="AE265" s="37"/>
      <c r="AF265" s="19">
        <v>2020</v>
      </c>
      <c r="AG265" s="19">
        <v>2022</v>
      </c>
    </row>
    <row r="266" spans="1:33" ht="111.75" hidden="1" customHeight="1" x14ac:dyDescent="0.45">
      <c r="A266" s="19">
        <v>248</v>
      </c>
      <c r="B266" s="19" t="s">
        <v>587</v>
      </c>
      <c r="C266" s="19" t="s">
        <v>736</v>
      </c>
      <c r="D266" s="43">
        <v>1960</v>
      </c>
      <c r="E266" s="19">
        <v>5</v>
      </c>
      <c r="F266" s="19">
        <v>4</v>
      </c>
      <c r="G266" s="23">
        <v>3263.8</v>
      </c>
      <c r="H266" s="23">
        <v>3061</v>
      </c>
      <c r="I266" s="23">
        <v>2034.5</v>
      </c>
      <c r="J266" s="19">
        <v>90</v>
      </c>
      <c r="K266" s="19" t="s">
        <v>365</v>
      </c>
      <c r="L266" s="19" t="s">
        <v>449</v>
      </c>
      <c r="M266" s="19"/>
      <c r="N266" s="28"/>
      <c r="O266" s="28"/>
      <c r="P266" s="28"/>
      <c r="Q266" s="28"/>
      <c r="R266" s="28"/>
      <c r="S266" s="28"/>
      <c r="T266" s="30"/>
      <c r="U266" s="28"/>
      <c r="V266" s="28">
        <v>16809150.780000001</v>
      </c>
      <c r="W266" s="28"/>
      <c r="X266" s="28">
        <v>14979637.92</v>
      </c>
      <c r="Y266" s="28"/>
      <c r="Z266" s="28">
        <v>24000</v>
      </c>
      <c r="AA266" s="28">
        <f>SUM(V266+X266+Z266)</f>
        <v>31812788.700000003</v>
      </c>
      <c r="AB266" s="28">
        <f>SUM(V266+X266+Z266)</f>
        <v>31812788.700000003</v>
      </c>
      <c r="AC266" s="28"/>
      <c r="AD266" s="28"/>
      <c r="AE266" s="37"/>
      <c r="AF266" s="19">
        <v>2021</v>
      </c>
      <c r="AG266" s="19">
        <v>2022</v>
      </c>
    </row>
    <row r="267" spans="1:33" ht="115.5" hidden="1" customHeight="1" x14ac:dyDescent="0.45">
      <c r="A267" s="19">
        <v>249</v>
      </c>
      <c r="B267" s="19" t="s">
        <v>587</v>
      </c>
      <c r="C267" s="19" t="s">
        <v>840</v>
      </c>
      <c r="D267" s="19">
        <v>1963</v>
      </c>
      <c r="E267" s="19">
        <v>5</v>
      </c>
      <c r="F267" s="19">
        <v>3</v>
      </c>
      <c r="G267" s="23">
        <v>3108.5</v>
      </c>
      <c r="H267" s="23">
        <v>3108.5</v>
      </c>
      <c r="I267" s="23">
        <v>2412.6</v>
      </c>
      <c r="J267" s="19">
        <v>84</v>
      </c>
      <c r="K267" s="19" t="s">
        <v>365</v>
      </c>
      <c r="L267" s="19" t="s">
        <v>449</v>
      </c>
      <c r="M267" s="19"/>
      <c r="N267" s="28"/>
      <c r="O267" s="28"/>
      <c r="P267" s="28"/>
      <c r="Q267" s="28"/>
      <c r="R267" s="28"/>
      <c r="S267" s="28"/>
      <c r="T267" s="28"/>
      <c r="U267" s="28"/>
      <c r="V267" s="28">
        <v>6807443.0899999999</v>
      </c>
      <c r="W267" s="28"/>
      <c r="X267" s="28">
        <v>10757997.83</v>
      </c>
      <c r="Y267" s="28"/>
      <c r="Z267" s="28">
        <v>24000</v>
      </c>
      <c r="AA267" s="28">
        <f>SUM(V267+X267+Z267)</f>
        <v>17589440.920000002</v>
      </c>
      <c r="AB267" s="28">
        <f>SUM(V267+X267+Z267)</f>
        <v>17589440.920000002</v>
      </c>
      <c r="AC267" s="28"/>
      <c r="AD267" s="28"/>
      <c r="AE267" s="37"/>
      <c r="AF267" s="19">
        <v>2021</v>
      </c>
      <c r="AG267" s="19">
        <v>2022</v>
      </c>
    </row>
    <row r="268" spans="1:33" ht="84.9" hidden="1" customHeight="1" x14ac:dyDescent="0.45">
      <c r="A268" s="352" t="s">
        <v>841</v>
      </c>
      <c r="B268" s="353"/>
      <c r="C268" s="353"/>
      <c r="D268" s="353"/>
      <c r="E268" s="353"/>
      <c r="F268" s="353"/>
      <c r="G268" s="353"/>
      <c r="H268" s="353"/>
      <c r="I268" s="353"/>
      <c r="J268" s="353"/>
      <c r="K268" s="353"/>
      <c r="L268" s="353"/>
      <c r="M268" s="354"/>
      <c r="N268" s="28">
        <f t="shared" ref="N268:V268" si="42">SUM(N167:N267)</f>
        <v>1942095.546875</v>
      </c>
      <c r="O268" s="98">
        <v>86656743.997850001</v>
      </c>
      <c r="P268" s="28">
        <f t="shared" si="42"/>
        <v>5157302.8347699996</v>
      </c>
      <c r="Q268" s="28">
        <f t="shared" si="42"/>
        <v>1998820.0300199999</v>
      </c>
      <c r="R268" s="28">
        <f t="shared" si="42"/>
        <v>24397240.531700004</v>
      </c>
      <c r="S268" s="28">
        <f t="shared" si="42"/>
        <v>5774776.5596249998</v>
      </c>
      <c r="T268" s="28">
        <f t="shared" si="42"/>
        <v>922403.64</v>
      </c>
      <c r="U268" s="28">
        <f t="shared" si="42"/>
        <v>11669721.51</v>
      </c>
      <c r="V268" s="28">
        <f t="shared" si="42"/>
        <v>390813941.95999998</v>
      </c>
      <c r="W268" s="28"/>
      <c r="X268" s="28">
        <f t="shared" ref="X268:AB268" si="43">SUM(X167:X267)</f>
        <v>223156393.16</v>
      </c>
      <c r="Y268" s="28">
        <f t="shared" si="43"/>
        <v>1239565.7</v>
      </c>
      <c r="Z268" s="28">
        <f t="shared" si="43"/>
        <v>35998045.870000005</v>
      </c>
      <c r="AA268" s="28">
        <f t="shared" si="43"/>
        <v>789727051.34084046</v>
      </c>
      <c r="AB268" s="28">
        <f t="shared" si="43"/>
        <v>364096877.92170006</v>
      </c>
      <c r="AC268" s="28"/>
      <c r="AD268" s="28">
        <f>SUM(AD167:AD267)</f>
        <v>425630173.4191398</v>
      </c>
      <c r="AE268" s="19"/>
      <c r="AF268" s="19"/>
      <c r="AG268" s="19"/>
    </row>
    <row r="269" spans="1:33" ht="84.9" hidden="1" customHeight="1" x14ac:dyDescent="0.45">
      <c r="A269" s="368" t="s">
        <v>842</v>
      </c>
      <c r="B269" s="368"/>
      <c r="C269" s="368"/>
      <c r="D269" s="368"/>
      <c r="E269" s="368"/>
      <c r="F269" s="368"/>
      <c r="G269" s="368"/>
      <c r="H269" s="368"/>
      <c r="I269" s="368"/>
      <c r="J269" s="368"/>
      <c r="K269" s="368"/>
      <c r="L269" s="368"/>
      <c r="M269" s="368"/>
      <c r="N269" s="368"/>
      <c r="O269" s="368"/>
      <c r="P269" s="368"/>
      <c r="Q269" s="368"/>
      <c r="R269" s="368"/>
      <c r="S269" s="368"/>
      <c r="T269" s="368"/>
      <c r="U269" s="368"/>
      <c r="V269" s="368"/>
      <c r="W269" s="368"/>
      <c r="X269" s="368"/>
      <c r="Y269" s="368"/>
      <c r="Z269" s="368"/>
      <c r="AA269" s="368"/>
      <c r="AB269" s="368"/>
      <c r="AC269" s="368"/>
      <c r="AD269" s="368"/>
      <c r="AE269" s="368"/>
      <c r="AF269" s="368"/>
      <c r="AG269" s="368"/>
    </row>
    <row r="270" spans="1:33" ht="84.9" hidden="1" customHeight="1" x14ac:dyDescent="0.45">
      <c r="A270" s="96">
        <v>250</v>
      </c>
      <c r="B270" s="96" t="s">
        <v>587</v>
      </c>
      <c r="C270" s="96" t="s">
        <v>161</v>
      </c>
      <c r="D270" s="96">
        <v>1978</v>
      </c>
      <c r="E270" s="96">
        <v>9</v>
      </c>
      <c r="F270" s="96">
        <v>2</v>
      </c>
      <c r="G270" s="96">
        <v>4527</v>
      </c>
      <c r="H270" s="96">
        <v>3885.7</v>
      </c>
      <c r="I270" s="96">
        <v>3767.5</v>
      </c>
      <c r="J270" s="96" t="s">
        <v>364</v>
      </c>
      <c r="K270" s="96" t="s">
        <v>365</v>
      </c>
      <c r="L270" s="96" t="s">
        <v>366</v>
      </c>
      <c r="M270" s="96"/>
      <c r="N270" s="96"/>
      <c r="O270" s="96"/>
      <c r="P270" s="96"/>
      <c r="Q270" s="96"/>
      <c r="R270" s="96"/>
      <c r="S270" s="96"/>
      <c r="T270" s="96"/>
      <c r="U270" s="99">
        <v>3702831.57</v>
      </c>
      <c r="V270" s="96"/>
      <c r="W270" s="96"/>
      <c r="X270" s="96"/>
      <c r="Y270" s="96"/>
      <c r="Z270" s="99">
        <v>151890.07999999999</v>
      </c>
      <c r="AA270" s="99">
        <f t="shared" ref="AA270:AA272" si="44">SUM(U270+Z270)</f>
        <v>3854721.65</v>
      </c>
      <c r="AB270" s="96"/>
      <c r="AC270" s="96"/>
      <c r="AD270" s="99">
        <f t="shared" ref="AD270:AD272" si="45">AA270</f>
        <v>3854721.65</v>
      </c>
      <c r="AE270" s="96"/>
      <c r="AF270" s="96">
        <v>2022</v>
      </c>
      <c r="AG270" s="96">
        <v>2022</v>
      </c>
    </row>
    <row r="271" spans="1:33" ht="84.9" hidden="1" customHeight="1" x14ac:dyDescent="0.45">
      <c r="A271" s="96">
        <v>251</v>
      </c>
      <c r="B271" s="96" t="s">
        <v>587</v>
      </c>
      <c r="C271" s="96" t="s">
        <v>162</v>
      </c>
      <c r="D271" s="96">
        <v>1977</v>
      </c>
      <c r="E271" s="96">
        <v>9</v>
      </c>
      <c r="F271" s="96">
        <v>4</v>
      </c>
      <c r="G271" s="96">
        <v>7622</v>
      </c>
      <c r="H271" s="96">
        <v>7607.1</v>
      </c>
      <c r="I271" s="96">
        <v>7532.23</v>
      </c>
      <c r="J271" s="96" t="s">
        <v>364</v>
      </c>
      <c r="K271" s="96" t="s">
        <v>365</v>
      </c>
      <c r="L271" s="96" t="s">
        <v>366</v>
      </c>
      <c r="M271" s="96"/>
      <c r="N271" s="96"/>
      <c r="O271" s="96"/>
      <c r="P271" s="96"/>
      <c r="Q271" s="96"/>
      <c r="R271" s="96"/>
      <c r="S271" s="96"/>
      <c r="T271" s="96"/>
      <c r="U271" s="99">
        <v>7405663.1399999997</v>
      </c>
      <c r="V271" s="96"/>
      <c r="W271" s="96"/>
      <c r="X271" s="96"/>
      <c r="Y271" s="96"/>
      <c r="Z271" s="99">
        <v>303780.15999999997</v>
      </c>
      <c r="AA271" s="99">
        <f t="shared" si="44"/>
        <v>7709443.2999999998</v>
      </c>
      <c r="AB271" s="96"/>
      <c r="AC271" s="96"/>
      <c r="AD271" s="99">
        <f t="shared" si="45"/>
        <v>7709443.2999999998</v>
      </c>
      <c r="AE271" s="96"/>
      <c r="AF271" s="96">
        <v>2022</v>
      </c>
      <c r="AG271" s="96">
        <v>2022</v>
      </c>
    </row>
    <row r="272" spans="1:33" ht="84.9" hidden="1" customHeight="1" x14ac:dyDescent="0.45">
      <c r="A272" s="96">
        <v>252</v>
      </c>
      <c r="B272" s="96" t="s">
        <v>587</v>
      </c>
      <c r="C272" s="96" t="s">
        <v>163</v>
      </c>
      <c r="D272" s="96">
        <v>1977</v>
      </c>
      <c r="E272" s="96">
        <v>9</v>
      </c>
      <c r="F272" s="96">
        <v>1</v>
      </c>
      <c r="G272" s="96">
        <v>2691</v>
      </c>
      <c r="H272" s="96">
        <v>2378</v>
      </c>
      <c r="I272" s="96">
        <v>2378.1999999999998</v>
      </c>
      <c r="J272" s="96" t="s">
        <v>364</v>
      </c>
      <c r="K272" s="96" t="s">
        <v>365</v>
      </c>
      <c r="L272" s="96" t="s">
        <v>366</v>
      </c>
      <c r="M272" s="96"/>
      <c r="N272" s="96"/>
      <c r="O272" s="96"/>
      <c r="P272" s="96"/>
      <c r="Q272" s="96"/>
      <c r="R272" s="96"/>
      <c r="S272" s="96"/>
      <c r="T272" s="96"/>
      <c r="U272" s="99">
        <v>1851415.78</v>
      </c>
      <c r="V272" s="96"/>
      <c r="W272" s="96"/>
      <c r="X272" s="96"/>
      <c r="Y272" s="96"/>
      <c r="Z272" s="99">
        <v>75945.039999999994</v>
      </c>
      <c r="AA272" s="99">
        <f t="shared" si="44"/>
        <v>1927360.82</v>
      </c>
      <c r="AB272" s="96"/>
      <c r="AC272" s="96"/>
      <c r="AD272" s="99">
        <f t="shared" si="45"/>
        <v>1927360.82</v>
      </c>
      <c r="AE272" s="96"/>
      <c r="AF272" s="96">
        <v>2022</v>
      </c>
      <c r="AG272" s="96">
        <v>2022</v>
      </c>
    </row>
    <row r="273" spans="1:33" ht="84.9" hidden="1" customHeight="1" x14ac:dyDescent="0.45">
      <c r="A273" s="96">
        <v>253</v>
      </c>
      <c r="B273" s="96" t="s">
        <v>587</v>
      </c>
      <c r="C273" s="96" t="s">
        <v>164</v>
      </c>
      <c r="D273" s="96">
        <v>1977</v>
      </c>
      <c r="E273" s="96">
        <v>9</v>
      </c>
      <c r="F273" s="96">
        <v>4</v>
      </c>
      <c r="G273" s="96">
        <v>7694</v>
      </c>
      <c r="H273" s="96">
        <v>7688.7</v>
      </c>
      <c r="I273" s="96">
        <v>7626.8</v>
      </c>
      <c r="J273" s="96" t="s">
        <v>364</v>
      </c>
      <c r="K273" s="96" t="s">
        <v>365</v>
      </c>
      <c r="L273" s="96" t="s">
        <v>366</v>
      </c>
      <c r="M273" s="96"/>
      <c r="N273" s="96"/>
      <c r="O273" s="99">
        <v>4754302.4800000004</v>
      </c>
      <c r="P273" s="96"/>
      <c r="Q273" s="96"/>
      <c r="R273" s="96"/>
      <c r="S273" s="96"/>
      <c r="T273" s="96"/>
      <c r="U273" s="99">
        <v>7405663.1399999997</v>
      </c>
      <c r="V273" s="96"/>
      <c r="W273" s="96"/>
      <c r="X273" s="96"/>
      <c r="Y273" s="96"/>
      <c r="Z273" s="99">
        <v>551780.16</v>
      </c>
      <c r="AA273" s="99">
        <f>SUM(O273+U273+Z273)</f>
        <v>12711745.780000001</v>
      </c>
      <c r="AB273" s="99">
        <v>5002302.4800000004</v>
      </c>
      <c r="AC273" s="96"/>
      <c r="AD273" s="99">
        <v>7709443.2999999998</v>
      </c>
      <c r="AE273" s="96"/>
      <c r="AF273" s="96">
        <v>2022</v>
      </c>
      <c r="AG273" s="96">
        <v>2022</v>
      </c>
    </row>
    <row r="274" spans="1:33" ht="84.9" hidden="1" customHeight="1" x14ac:dyDescent="0.45">
      <c r="A274" s="96">
        <v>254</v>
      </c>
      <c r="B274" s="96" t="s">
        <v>587</v>
      </c>
      <c r="C274" s="96" t="s">
        <v>361</v>
      </c>
      <c r="D274" s="96">
        <v>1961</v>
      </c>
      <c r="E274" s="96">
        <v>4</v>
      </c>
      <c r="F274" s="96">
        <v>2</v>
      </c>
      <c r="G274" s="96">
        <v>1472.4</v>
      </c>
      <c r="H274" s="96">
        <f>1238.3+126</f>
        <v>1364.3</v>
      </c>
      <c r="I274" s="96">
        <v>785.6</v>
      </c>
      <c r="J274" s="96" t="s">
        <v>364</v>
      </c>
      <c r="K274" s="96" t="s">
        <v>365</v>
      </c>
      <c r="L274" s="96" t="s">
        <v>366</v>
      </c>
      <c r="M274" s="96"/>
      <c r="N274" s="100"/>
      <c r="O274" s="100"/>
      <c r="P274" s="100"/>
      <c r="Q274" s="100"/>
      <c r="R274" s="100"/>
      <c r="S274" s="100"/>
      <c r="T274" s="96"/>
      <c r="U274" s="96"/>
      <c r="V274" s="99">
        <f>ROUND(H274*5975.33*1.015,2)</f>
        <v>8274424.8600000003</v>
      </c>
      <c r="W274" s="96"/>
      <c r="X274" s="96"/>
      <c r="Y274" s="96"/>
      <c r="Z274" s="99">
        <v>466942.1</v>
      </c>
      <c r="AA274" s="99">
        <f>SUM(V274+Z274)</f>
        <v>8741366.9600000009</v>
      </c>
      <c r="AB274" s="96"/>
      <c r="AC274" s="96"/>
      <c r="AD274" s="99">
        <f>SUM(V274+Z274)</f>
        <v>8741366.9600000009</v>
      </c>
      <c r="AE274" s="96"/>
      <c r="AF274" s="96">
        <v>2022</v>
      </c>
      <c r="AG274" s="96">
        <v>2022</v>
      </c>
    </row>
    <row r="275" spans="1:33" ht="84.9" hidden="1" customHeight="1" x14ac:dyDescent="0.45">
      <c r="A275" s="96">
        <v>255</v>
      </c>
      <c r="B275" s="96" t="s">
        <v>587</v>
      </c>
      <c r="C275" s="96" t="s">
        <v>368</v>
      </c>
      <c r="D275" s="96">
        <v>1980</v>
      </c>
      <c r="E275" s="96">
        <v>2</v>
      </c>
      <c r="F275" s="96">
        <v>2</v>
      </c>
      <c r="G275" s="96">
        <v>786.3</v>
      </c>
      <c r="H275" s="96">
        <v>745</v>
      </c>
      <c r="I275" s="96" t="s">
        <v>364</v>
      </c>
      <c r="J275" s="96" t="s">
        <v>364</v>
      </c>
      <c r="K275" s="96" t="s">
        <v>371</v>
      </c>
      <c r="L275" s="96" t="s">
        <v>366</v>
      </c>
      <c r="M275" s="96"/>
      <c r="N275" s="99">
        <f>ROUND(H275*616.25*1.015,2)</f>
        <v>465992.84</v>
      </c>
      <c r="O275" s="99">
        <f>ROUND(H275*2933.55*1.015,2)</f>
        <v>2218277.17</v>
      </c>
      <c r="P275" s="99">
        <f>ROUND(H275*598.59*1.015,2)</f>
        <v>452638.79</v>
      </c>
      <c r="Q275" s="99">
        <f>ROUND(H275*659.34*1.015,2)</f>
        <v>498576.42</v>
      </c>
      <c r="R275" s="99"/>
      <c r="S275" s="99">
        <f>ROUND(H275*1015.78*1.015,2)</f>
        <v>768107.44</v>
      </c>
      <c r="T275" s="99"/>
      <c r="U275" s="99"/>
      <c r="V275" s="99">
        <f>ROUND(8645.31*H275*1.015,2)</f>
        <v>6537367.29</v>
      </c>
      <c r="W275" s="99"/>
      <c r="X275" s="99">
        <f>ROUND(6480.9*H275*1.015,2)</f>
        <v>4900694.5599999996</v>
      </c>
      <c r="Y275" s="99"/>
      <c r="Z275" s="99">
        <v>399817.36</v>
      </c>
      <c r="AA275" s="99">
        <f>SUM(N275+O275+P275+Q275+S275+V275+X275+Z275)</f>
        <v>16241471.869999997</v>
      </c>
      <c r="AB275" s="99"/>
      <c r="AC275" s="99"/>
      <c r="AD275" s="99">
        <f>SUM(N275:Z275)</f>
        <v>16241471.869999997</v>
      </c>
      <c r="AE275" s="101"/>
      <c r="AF275" s="96">
        <v>2020</v>
      </c>
      <c r="AG275" s="96">
        <v>2022</v>
      </c>
    </row>
    <row r="276" spans="1:33" ht="84.9" hidden="1" customHeight="1" x14ac:dyDescent="0.45">
      <c r="A276" s="96">
        <v>256</v>
      </c>
      <c r="B276" s="96" t="s">
        <v>587</v>
      </c>
      <c r="C276" s="96" t="s">
        <v>372</v>
      </c>
      <c r="D276" s="96">
        <v>1960</v>
      </c>
      <c r="E276" s="96">
        <v>5</v>
      </c>
      <c r="F276" s="96">
        <v>2</v>
      </c>
      <c r="G276" s="96">
        <v>1605.3</v>
      </c>
      <c r="H276" s="96">
        <v>1605.3</v>
      </c>
      <c r="I276" s="96">
        <v>1038.9000000000001</v>
      </c>
      <c r="J276" s="96" t="s">
        <v>364</v>
      </c>
      <c r="K276" s="96" t="s">
        <v>365</v>
      </c>
      <c r="L276" s="96" t="s">
        <v>366</v>
      </c>
      <c r="M276" s="96"/>
      <c r="N276" s="99"/>
      <c r="O276" s="99" t="s">
        <v>374</v>
      </c>
      <c r="P276" s="99"/>
      <c r="Q276" s="99"/>
      <c r="R276" s="99"/>
      <c r="S276" s="99"/>
      <c r="T276" s="99"/>
      <c r="U276" s="99"/>
      <c r="V276" s="99"/>
      <c r="W276" s="99"/>
      <c r="X276" s="99"/>
      <c r="Y276" s="99">
        <v>1323903.43</v>
      </c>
      <c r="Z276" s="99"/>
      <c r="AA276" s="99">
        <f>Y276+Z276</f>
        <v>1323903.43</v>
      </c>
      <c r="AB276" s="99"/>
      <c r="AC276" s="99"/>
      <c r="AD276" s="99">
        <v>1323903.43</v>
      </c>
      <c r="AE276" s="101"/>
      <c r="AF276" s="96">
        <v>2020</v>
      </c>
      <c r="AG276" s="96">
        <v>2024</v>
      </c>
    </row>
    <row r="277" spans="1:33" ht="84.9" hidden="1" customHeight="1" x14ac:dyDescent="0.45">
      <c r="A277" s="96">
        <v>257</v>
      </c>
      <c r="B277" s="96" t="s">
        <v>587</v>
      </c>
      <c r="C277" s="96" t="s">
        <v>165</v>
      </c>
      <c r="D277" s="96" t="s">
        <v>384</v>
      </c>
      <c r="E277" s="96">
        <v>5</v>
      </c>
      <c r="F277" s="96">
        <v>8</v>
      </c>
      <c r="G277" s="96">
        <v>5793.5</v>
      </c>
      <c r="H277" s="96">
        <v>5775.3</v>
      </c>
      <c r="I277" s="96">
        <v>5775.3</v>
      </c>
      <c r="J277" s="96">
        <v>293</v>
      </c>
      <c r="K277" s="96" t="s">
        <v>365</v>
      </c>
      <c r="L277" s="96" t="s">
        <v>366</v>
      </c>
      <c r="M277" s="96"/>
      <c r="N277" s="99"/>
      <c r="O277" s="99">
        <v>2377151.2400000002</v>
      </c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>
        <v>124000</v>
      </c>
      <c r="AA277" s="99">
        <f t="shared" ref="AA277:AA297" si="46">SUM(O277+Z277)</f>
        <v>2501151.2400000002</v>
      </c>
      <c r="AB277" s="99">
        <f t="shared" ref="AB277:AB297" si="47">AA277</f>
        <v>2501151.2400000002</v>
      </c>
      <c r="AC277" s="99"/>
      <c r="AD277" s="99"/>
      <c r="AE277" s="101"/>
      <c r="AF277" s="96">
        <v>2022</v>
      </c>
      <c r="AG277" s="96">
        <v>2022</v>
      </c>
    </row>
    <row r="278" spans="1:33" ht="84.9" hidden="1" customHeight="1" x14ac:dyDescent="0.45">
      <c r="A278" s="96">
        <v>258</v>
      </c>
      <c r="B278" s="96" t="s">
        <v>587</v>
      </c>
      <c r="C278" s="96" t="s">
        <v>166</v>
      </c>
      <c r="D278" s="96" t="s">
        <v>384</v>
      </c>
      <c r="E278" s="96">
        <v>5</v>
      </c>
      <c r="F278" s="96">
        <v>6</v>
      </c>
      <c r="G278" s="96">
        <v>4799.8999999999996</v>
      </c>
      <c r="H278" s="96">
        <v>4351.8999999999996</v>
      </c>
      <c r="I278" s="96">
        <v>4351.8999999999996</v>
      </c>
      <c r="J278" s="96">
        <v>209</v>
      </c>
      <c r="K278" s="96" t="s">
        <v>365</v>
      </c>
      <c r="L278" s="96" t="s">
        <v>366</v>
      </c>
      <c r="M278" s="96"/>
      <c r="N278" s="99"/>
      <c r="O278" s="99">
        <v>2377151.2400000002</v>
      </c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>
        <v>124000</v>
      </c>
      <c r="AA278" s="99">
        <f t="shared" si="46"/>
        <v>2501151.2400000002</v>
      </c>
      <c r="AB278" s="99">
        <f t="shared" si="47"/>
        <v>2501151.2400000002</v>
      </c>
      <c r="AC278" s="99"/>
      <c r="AD278" s="99"/>
      <c r="AE278" s="101"/>
      <c r="AF278" s="96">
        <v>2022</v>
      </c>
      <c r="AG278" s="96">
        <v>2022</v>
      </c>
    </row>
    <row r="279" spans="1:33" ht="84.9" hidden="1" customHeight="1" x14ac:dyDescent="0.45">
      <c r="A279" s="96">
        <v>259</v>
      </c>
      <c r="B279" s="96" t="s">
        <v>587</v>
      </c>
      <c r="C279" s="96" t="s">
        <v>167</v>
      </c>
      <c r="D279" s="96">
        <v>1971</v>
      </c>
      <c r="E279" s="96">
        <v>9</v>
      </c>
      <c r="F279" s="96">
        <v>2</v>
      </c>
      <c r="G279" s="96" t="s">
        <v>386</v>
      </c>
      <c r="H279" s="96">
        <v>3827.7</v>
      </c>
      <c r="I279" s="96">
        <v>3827.7</v>
      </c>
      <c r="J279" s="96">
        <v>160</v>
      </c>
      <c r="K279" s="96" t="s">
        <v>365</v>
      </c>
      <c r="L279" s="96" t="s">
        <v>366</v>
      </c>
      <c r="M279" s="96"/>
      <c r="N279" s="99"/>
      <c r="O279" s="99">
        <v>2377151.2400000002</v>
      </c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>
        <v>124000</v>
      </c>
      <c r="AA279" s="99">
        <f t="shared" si="46"/>
        <v>2501151.2400000002</v>
      </c>
      <c r="AB279" s="99">
        <f t="shared" si="47"/>
        <v>2501151.2400000002</v>
      </c>
      <c r="AC279" s="99"/>
      <c r="AD279" s="99"/>
      <c r="AE279" s="101"/>
      <c r="AF279" s="96">
        <v>2022</v>
      </c>
      <c r="AG279" s="96">
        <v>2022</v>
      </c>
    </row>
    <row r="280" spans="1:33" ht="84.9" hidden="1" customHeight="1" x14ac:dyDescent="0.45">
      <c r="A280" s="96">
        <v>260</v>
      </c>
      <c r="B280" s="96" t="s">
        <v>587</v>
      </c>
      <c r="C280" s="96" t="s">
        <v>168</v>
      </c>
      <c r="D280" s="96">
        <v>1971</v>
      </c>
      <c r="E280" s="96">
        <v>9</v>
      </c>
      <c r="F280" s="96">
        <v>2</v>
      </c>
      <c r="G280" s="96">
        <v>3912.3</v>
      </c>
      <c r="H280" s="96">
        <v>3847.8</v>
      </c>
      <c r="I280" s="96">
        <v>3847.8</v>
      </c>
      <c r="J280" s="96">
        <v>174</v>
      </c>
      <c r="K280" s="96" t="s">
        <v>365</v>
      </c>
      <c r="L280" s="96" t="s">
        <v>366</v>
      </c>
      <c r="M280" s="96"/>
      <c r="N280" s="99"/>
      <c r="O280" s="99">
        <v>2377151.2400000002</v>
      </c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>
        <v>124000</v>
      </c>
      <c r="AA280" s="99">
        <f t="shared" si="46"/>
        <v>2501151.2400000002</v>
      </c>
      <c r="AB280" s="99">
        <f t="shared" si="47"/>
        <v>2501151.2400000002</v>
      </c>
      <c r="AC280" s="99"/>
      <c r="AD280" s="99"/>
      <c r="AE280" s="101"/>
      <c r="AF280" s="96">
        <v>2022</v>
      </c>
      <c r="AG280" s="96">
        <v>2022</v>
      </c>
    </row>
    <row r="281" spans="1:33" ht="84.9" hidden="1" customHeight="1" x14ac:dyDescent="0.45">
      <c r="A281" s="96">
        <v>261</v>
      </c>
      <c r="B281" s="96" t="s">
        <v>587</v>
      </c>
      <c r="C281" s="96" t="s">
        <v>169</v>
      </c>
      <c r="D281" s="96">
        <v>1960</v>
      </c>
      <c r="E281" s="96">
        <v>5</v>
      </c>
      <c r="F281" s="96">
        <v>4</v>
      </c>
      <c r="G281" s="96">
        <v>3186.3</v>
      </c>
      <c r="H281" s="96">
        <v>3034.5</v>
      </c>
      <c r="I281" s="96">
        <v>3034.5</v>
      </c>
      <c r="J281" s="96">
        <v>147</v>
      </c>
      <c r="K281" s="96" t="s">
        <v>365</v>
      </c>
      <c r="L281" s="96" t="s">
        <v>366</v>
      </c>
      <c r="M281" s="96"/>
      <c r="N281" s="99"/>
      <c r="O281" s="99">
        <v>2377151.2400000002</v>
      </c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>
        <v>124000</v>
      </c>
      <c r="AA281" s="99">
        <f t="shared" si="46"/>
        <v>2501151.2400000002</v>
      </c>
      <c r="AB281" s="99">
        <f t="shared" si="47"/>
        <v>2501151.2400000002</v>
      </c>
      <c r="AC281" s="99"/>
      <c r="AD281" s="99"/>
      <c r="AE281" s="101"/>
      <c r="AF281" s="96">
        <v>2022</v>
      </c>
      <c r="AG281" s="96">
        <v>2022</v>
      </c>
    </row>
    <row r="282" spans="1:33" ht="84.9" hidden="1" customHeight="1" x14ac:dyDescent="0.45">
      <c r="A282" s="96">
        <v>262</v>
      </c>
      <c r="B282" s="96" t="s">
        <v>587</v>
      </c>
      <c r="C282" s="96" t="s">
        <v>170</v>
      </c>
      <c r="D282" s="96">
        <v>1966</v>
      </c>
      <c r="E282" s="96">
        <v>5</v>
      </c>
      <c r="F282" s="96">
        <v>6</v>
      </c>
      <c r="G282" s="96">
        <v>4387.3</v>
      </c>
      <c r="H282" s="96">
        <v>4370</v>
      </c>
      <c r="I282" s="96">
        <v>4370</v>
      </c>
      <c r="J282" s="96">
        <v>230</v>
      </c>
      <c r="K282" s="96" t="s">
        <v>365</v>
      </c>
      <c r="L282" s="96" t="s">
        <v>366</v>
      </c>
      <c r="M282" s="96"/>
      <c r="N282" s="99"/>
      <c r="O282" s="99">
        <v>2377151.2400000002</v>
      </c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>
        <v>124000</v>
      </c>
      <c r="AA282" s="99">
        <f t="shared" si="46"/>
        <v>2501151.2400000002</v>
      </c>
      <c r="AB282" s="99">
        <f t="shared" si="47"/>
        <v>2501151.2400000002</v>
      </c>
      <c r="AC282" s="99"/>
      <c r="AD282" s="99"/>
      <c r="AE282" s="101"/>
      <c r="AF282" s="96">
        <v>2022</v>
      </c>
      <c r="AG282" s="96">
        <v>2022</v>
      </c>
    </row>
    <row r="283" spans="1:33" ht="84.9" hidden="1" customHeight="1" x14ac:dyDescent="0.45">
      <c r="A283" s="96">
        <v>263</v>
      </c>
      <c r="B283" s="96" t="s">
        <v>587</v>
      </c>
      <c r="C283" s="96" t="s">
        <v>171</v>
      </c>
      <c r="D283" s="96">
        <v>1970</v>
      </c>
      <c r="E283" s="96">
        <v>5</v>
      </c>
      <c r="F283" s="96">
        <v>5</v>
      </c>
      <c r="G283" s="96">
        <v>3330.1</v>
      </c>
      <c r="H283" s="96">
        <v>3329.8</v>
      </c>
      <c r="I283" s="96">
        <v>3313.1</v>
      </c>
      <c r="J283" s="96">
        <v>164</v>
      </c>
      <c r="K283" s="96" t="s">
        <v>365</v>
      </c>
      <c r="L283" s="96" t="s">
        <v>366</v>
      </c>
      <c r="M283" s="96"/>
      <c r="N283" s="99"/>
      <c r="O283" s="99">
        <v>2377151.2400000002</v>
      </c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>
        <v>124000</v>
      </c>
      <c r="AA283" s="99">
        <f t="shared" si="46"/>
        <v>2501151.2400000002</v>
      </c>
      <c r="AB283" s="99">
        <f t="shared" si="47"/>
        <v>2501151.2400000002</v>
      </c>
      <c r="AC283" s="99"/>
      <c r="AD283" s="99"/>
      <c r="AE283" s="101"/>
      <c r="AF283" s="96">
        <v>2022</v>
      </c>
      <c r="AG283" s="96">
        <v>2022</v>
      </c>
    </row>
    <row r="284" spans="1:33" ht="84.9" hidden="1" customHeight="1" x14ac:dyDescent="0.45">
      <c r="A284" s="96">
        <v>264</v>
      </c>
      <c r="B284" s="96" t="s">
        <v>587</v>
      </c>
      <c r="C284" s="96" t="s">
        <v>172</v>
      </c>
      <c r="D284" s="96">
        <v>1970</v>
      </c>
      <c r="E284" s="96">
        <v>5</v>
      </c>
      <c r="F284" s="96">
        <v>6</v>
      </c>
      <c r="G284" s="96">
        <v>4510.5</v>
      </c>
      <c r="H284" s="96">
        <v>4498.3</v>
      </c>
      <c r="I284" s="96">
        <v>4498.3</v>
      </c>
      <c r="J284" s="96">
        <v>223</v>
      </c>
      <c r="K284" s="96" t="s">
        <v>365</v>
      </c>
      <c r="L284" s="96" t="s">
        <v>366</v>
      </c>
      <c r="M284" s="96"/>
      <c r="N284" s="99"/>
      <c r="O284" s="99">
        <v>2377151.2400000002</v>
      </c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>
        <v>124000</v>
      </c>
      <c r="AA284" s="99">
        <f t="shared" si="46"/>
        <v>2501151.2400000002</v>
      </c>
      <c r="AB284" s="99">
        <f t="shared" si="47"/>
        <v>2501151.2400000002</v>
      </c>
      <c r="AC284" s="99"/>
      <c r="AD284" s="99"/>
      <c r="AE284" s="101"/>
      <c r="AF284" s="96">
        <v>2022</v>
      </c>
      <c r="AG284" s="96">
        <v>2022</v>
      </c>
    </row>
    <row r="285" spans="1:33" ht="84.9" hidden="1" customHeight="1" x14ac:dyDescent="0.45">
      <c r="A285" s="96">
        <v>265</v>
      </c>
      <c r="B285" s="96" t="s">
        <v>587</v>
      </c>
      <c r="C285" s="96" t="s">
        <v>173</v>
      </c>
      <c r="D285" s="96" t="s">
        <v>388</v>
      </c>
      <c r="E285" s="96">
        <v>5</v>
      </c>
      <c r="F285" s="96">
        <v>5</v>
      </c>
      <c r="G285" s="96">
        <v>3424.9</v>
      </c>
      <c r="H285" s="96">
        <v>3424.8</v>
      </c>
      <c r="I285" s="96">
        <v>3408.5</v>
      </c>
      <c r="J285" s="96" t="s">
        <v>389</v>
      </c>
      <c r="K285" s="96" t="s">
        <v>365</v>
      </c>
      <c r="L285" s="96" t="s">
        <v>366</v>
      </c>
      <c r="M285" s="96"/>
      <c r="N285" s="99"/>
      <c r="O285" s="99">
        <v>2377151.2400000002</v>
      </c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>
        <v>124000</v>
      </c>
      <c r="AA285" s="99">
        <f t="shared" si="46"/>
        <v>2501151.2400000002</v>
      </c>
      <c r="AB285" s="99">
        <f t="shared" si="47"/>
        <v>2501151.2400000002</v>
      </c>
      <c r="AC285" s="99"/>
      <c r="AD285" s="99"/>
      <c r="AE285" s="101"/>
      <c r="AF285" s="96">
        <v>2022</v>
      </c>
      <c r="AG285" s="96">
        <v>2022</v>
      </c>
    </row>
    <row r="286" spans="1:33" ht="84.9" hidden="1" customHeight="1" x14ac:dyDescent="0.45">
      <c r="A286" s="96">
        <v>266</v>
      </c>
      <c r="B286" s="96" t="s">
        <v>587</v>
      </c>
      <c r="C286" s="96" t="s">
        <v>174</v>
      </c>
      <c r="D286" s="96">
        <v>1970</v>
      </c>
      <c r="E286" s="96">
        <v>5</v>
      </c>
      <c r="F286" s="96">
        <v>7</v>
      </c>
      <c r="G286" s="96">
        <v>5072</v>
      </c>
      <c r="H286" s="96">
        <v>5026.8</v>
      </c>
      <c r="I286" s="96">
        <v>5009.6000000000004</v>
      </c>
      <c r="J286" s="96">
        <v>252</v>
      </c>
      <c r="K286" s="96" t="s">
        <v>365</v>
      </c>
      <c r="L286" s="96" t="s">
        <v>366</v>
      </c>
      <c r="M286" s="96"/>
      <c r="N286" s="99"/>
      <c r="O286" s="99">
        <v>2377151.2400000002</v>
      </c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>
        <v>124000</v>
      </c>
      <c r="AA286" s="99">
        <f t="shared" si="46"/>
        <v>2501151.2400000002</v>
      </c>
      <c r="AB286" s="99">
        <f t="shared" si="47"/>
        <v>2501151.2400000002</v>
      </c>
      <c r="AC286" s="99"/>
      <c r="AD286" s="99"/>
      <c r="AE286" s="101"/>
      <c r="AF286" s="96">
        <v>2022</v>
      </c>
      <c r="AG286" s="96">
        <v>2022</v>
      </c>
    </row>
    <row r="287" spans="1:33" ht="84.9" hidden="1" customHeight="1" x14ac:dyDescent="0.45">
      <c r="A287" s="96">
        <v>267</v>
      </c>
      <c r="B287" s="96" t="s">
        <v>587</v>
      </c>
      <c r="C287" s="96" t="s">
        <v>175</v>
      </c>
      <c r="D287" s="96">
        <v>1970</v>
      </c>
      <c r="E287" s="96">
        <v>5</v>
      </c>
      <c r="F287" s="96">
        <v>4</v>
      </c>
      <c r="G287" s="96">
        <v>3224.3</v>
      </c>
      <c r="H287" s="96">
        <v>3077.3</v>
      </c>
      <c r="I287" s="96">
        <v>2797</v>
      </c>
      <c r="J287" s="96">
        <v>132</v>
      </c>
      <c r="K287" s="96" t="s">
        <v>365</v>
      </c>
      <c r="L287" s="96" t="s">
        <v>366</v>
      </c>
      <c r="M287" s="96"/>
      <c r="N287" s="99"/>
      <c r="O287" s="99">
        <v>2377151.2400000002</v>
      </c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>
        <v>124000</v>
      </c>
      <c r="AA287" s="99">
        <f t="shared" si="46"/>
        <v>2501151.2400000002</v>
      </c>
      <c r="AB287" s="99">
        <f t="shared" si="47"/>
        <v>2501151.2400000002</v>
      </c>
      <c r="AC287" s="99"/>
      <c r="AD287" s="99"/>
      <c r="AE287" s="101"/>
      <c r="AF287" s="96">
        <v>2022</v>
      </c>
      <c r="AG287" s="96">
        <v>2022</v>
      </c>
    </row>
    <row r="288" spans="1:33" ht="84.9" hidden="1" customHeight="1" x14ac:dyDescent="0.45">
      <c r="A288" s="96">
        <v>268</v>
      </c>
      <c r="B288" s="96" t="s">
        <v>587</v>
      </c>
      <c r="C288" s="96" t="s">
        <v>176</v>
      </c>
      <c r="D288" s="96">
        <v>1971</v>
      </c>
      <c r="E288" s="96">
        <v>5</v>
      </c>
      <c r="F288" s="96">
        <v>7</v>
      </c>
      <c r="G288" s="96">
        <v>5029.3</v>
      </c>
      <c r="H288" s="96">
        <v>5026.2</v>
      </c>
      <c r="I288" s="96">
        <v>5008.7</v>
      </c>
      <c r="J288" s="96">
        <v>263</v>
      </c>
      <c r="K288" s="96" t="s">
        <v>365</v>
      </c>
      <c r="L288" s="96" t="s">
        <v>366</v>
      </c>
      <c r="M288" s="96"/>
      <c r="N288" s="99"/>
      <c r="O288" s="99">
        <v>2377151.2400000002</v>
      </c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>
        <v>124000</v>
      </c>
      <c r="AA288" s="99">
        <f t="shared" si="46"/>
        <v>2501151.2400000002</v>
      </c>
      <c r="AB288" s="99">
        <f t="shared" si="47"/>
        <v>2501151.2400000002</v>
      </c>
      <c r="AC288" s="99"/>
      <c r="AD288" s="99"/>
      <c r="AE288" s="101"/>
      <c r="AF288" s="96">
        <v>2022</v>
      </c>
      <c r="AG288" s="96">
        <v>2022</v>
      </c>
    </row>
    <row r="289" spans="1:33" ht="84.9" hidden="1" customHeight="1" x14ac:dyDescent="0.45">
      <c r="A289" s="96">
        <v>269</v>
      </c>
      <c r="B289" s="96" t="s">
        <v>587</v>
      </c>
      <c r="C289" s="96" t="s">
        <v>177</v>
      </c>
      <c r="D289" s="96">
        <v>1970</v>
      </c>
      <c r="E289" s="96">
        <v>5</v>
      </c>
      <c r="F289" s="96">
        <v>4</v>
      </c>
      <c r="G289" s="96">
        <v>2743.4</v>
      </c>
      <c r="H289" s="96">
        <v>2726.2</v>
      </c>
      <c r="I289" s="96">
        <v>2726.2</v>
      </c>
      <c r="J289" s="96">
        <v>140</v>
      </c>
      <c r="K289" s="96" t="s">
        <v>365</v>
      </c>
      <c r="L289" s="96" t="s">
        <v>366</v>
      </c>
      <c r="M289" s="96"/>
      <c r="N289" s="99"/>
      <c r="O289" s="99">
        <v>2377151.2400000002</v>
      </c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>
        <v>124000</v>
      </c>
      <c r="AA289" s="99">
        <f t="shared" si="46"/>
        <v>2501151.2400000002</v>
      </c>
      <c r="AB289" s="99">
        <f t="shared" si="47"/>
        <v>2501151.2400000002</v>
      </c>
      <c r="AC289" s="99"/>
      <c r="AD289" s="99"/>
      <c r="AE289" s="101"/>
      <c r="AF289" s="96">
        <v>2022</v>
      </c>
      <c r="AG289" s="96">
        <v>2022</v>
      </c>
    </row>
    <row r="290" spans="1:33" ht="84.9" hidden="1" customHeight="1" x14ac:dyDescent="0.45">
      <c r="A290" s="96">
        <v>270</v>
      </c>
      <c r="B290" s="96" t="s">
        <v>587</v>
      </c>
      <c r="C290" s="96" t="s">
        <v>178</v>
      </c>
      <c r="D290" s="96">
        <v>1972</v>
      </c>
      <c r="E290" s="96">
        <v>5</v>
      </c>
      <c r="F290" s="96">
        <v>1</v>
      </c>
      <c r="G290" s="96">
        <v>610.1</v>
      </c>
      <c r="H290" s="96">
        <v>609.79999999999995</v>
      </c>
      <c r="I290" s="96">
        <v>572.5</v>
      </c>
      <c r="J290" s="96">
        <v>22</v>
      </c>
      <c r="K290" s="96" t="s">
        <v>365</v>
      </c>
      <c r="L290" s="96" t="s">
        <v>366</v>
      </c>
      <c r="M290" s="96"/>
      <c r="N290" s="99"/>
      <c r="O290" s="99">
        <v>2377151.2400000002</v>
      </c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>
        <v>124000</v>
      </c>
      <c r="AA290" s="99">
        <f t="shared" si="46"/>
        <v>2501151.2400000002</v>
      </c>
      <c r="AB290" s="99">
        <f t="shared" si="47"/>
        <v>2501151.2400000002</v>
      </c>
      <c r="AC290" s="99"/>
      <c r="AD290" s="99"/>
      <c r="AE290" s="101"/>
      <c r="AF290" s="96">
        <v>2022</v>
      </c>
      <c r="AG290" s="96">
        <v>2022</v>
      </c>
    </row>
    <row r="291" spans="1:33" ht="84.9" hidden="1" customHeight="1" x14ac:dyDescent="0.45">
      <c r="A291" s="96">
        <v>271</v>
      </c>
      <c r="B291" s="96" t="s">
        <v>587</v>
      </c>
      <c r="C291" s="96" t="s">
        <v>179</v>
      </c>
      <c r="D291" s="96">
        <v>1971</v>
      </c>
      <c r="E291" s="96">
        <v>5</v>
      </c>
      <c r="F291" s="96">
        <v>6</v>
      </c>
      <c r="G291" s="96">
        <v>4518.5</v>
      </c>
      <c r="H291" s="96">
        <v>3146.7</v>
      </c>
      <c r="I291" s="96">
        <v>3010.7</v>
      </c>
      <c r="J291" s="96">
        <v>229</v>
      </c>
      <c r="K291" s="96" t="s">
        <v>365</v>
      </c>
      <c r="L291" s="96" t="s">
        <v>366</v>
      </c>
      <c r="M291" s="96"/>
      <c r="N291" s="99"/>
      <c r="O291" s="99">
        <v>2377151.2400000002</v>
      </c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>
        <v>124000</v>
      </c>
      <c r="AA291" s="99">
        <f t="shared" si="46"/>
        <v>2501151.2400000002</v>
      </c>
      <c r="AB291" s="99">
        <f t="shared" si="47"/>
        <v>2501151.2400000002</v>
      </c>
      <c r="AC291" s="99"/>
      <c r="AD291" s="99"/>
      <c r="AE291" s="101"/>
      <c r="AF291" s="96">
        <v>2022</v>
      </c>
      <c r="AG291" s="96">
        <v>2022</v>
      </c>
    </row>
    <row r="292" spans="1:33" ht="84.9" hidden="1" customHeight="1" x14ac:dyDescent="0.45">
      <c r="A292" s="96">
        <v>272</v>
      </c>
      <c r="B292" s="96" t="s">
        <v>587</v>
      </c>
      <c r="C292" s="96" t="s">
        <v>180</v>
      </c>
      <c r="D292" s="96">
        <v>1974</v>
      </c>
      <c r="E292" s="96">
        <v>9</v>
      </c>
      <c r="F292" s="96">
        <v>2</v>
      </c>
      <c r="G292" s="96">
        <v>4733.8</v>
      </c>
      <c r="H292" s="96">
        <v>4103</v>
      </c>
      <c r="I292" s="96">
        <v>3956.9</v>
      </c>
      <c r="J292" s="96">
        <v>158</v>
      </c>
      <c r="K292" s="96" t="s">
        <v>365</v>
      </c>
      <c r="L292" s="96" t="s">
        <v>366</v>
      </c>
      <c r="M292" s="96"/>
      <c r="N292" s="99"/>
      <c r="O292" s="99">
        <v>2377151.2400000002</v>
      </c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>
        <v>124000</v>
      </c>
      <c r="AA292" s="99">
        <f t="shared" si="46"/>
        <v>2501151.2400000002</v>
      </c>
      <c r="AB292" s="99">
        <f t="shared" si="47"/>
        <v>2501151.2400000002</v>
      </c>
      <c r="AC292" s="99"/>
      <c r="AD292" s="99"/>
      <c r="AE292" s="101"/>
      <c r="AF292" s="96">
        <v>2022</v>
      </c>
      <c r="AG292" s="96">
        <v>2022</v>
      </c>
    </row>
    <row r="293" spans="1:33" ht="84.9" hidden="1" customHeight="1" x14ac:dyDescent="0.45">
      <c r="A293" s="96">
        <v>273</v>
      </c>
      <c r="B293" s="96" t="s">
        <v>587</v>
      </c>
      <c r="C293" s="96" t="s">
        <v>181</v>
      </c>
      <c r="D293" s="96">
        <v>1966</v>
      </c>
      <c r="E293" s="96">
        <v>5</v>
      </c>
      <c r="F293" s="96">
        <v>4</v>
      </c>
      <c r="G293" s="96">
        <v>2830.7</v>
      </c>
      <c r="H293" s="96">
        <v>2830.2</v>
      </c>
      <c r="I293" s="96">
        <v>2736.2</v>
      </c>
      <c r="J293" s="96">
        <v>120</v>
      </c>
      <c r="K293" s="96" t="s">
        <v>365</v>
      </c>
      <c r="L293" s="96" t="s">
        <v>366</v>
      </c>
      <c r="M293" s="96"/>
      <c r="N293" s="99"/>
      <c r="O293" s="99">
        <v>2377151.2400000002</v>
      </c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>
        <v>124000</v>
      </c>
      <c r="AA293" s="99">
        <f t="shared" si="46"/>
        <v>2501151.2400000002</v>
      </c>
      <c r="AB293" s="99">
        <f t="shared" si="47"/>
        <v>2501151.2400000002</v>
      </c>
      <c r="AC293" s="99"/>
      <c r="AD293" s="99"/>
      <c r="AE293" s="101"/>
      <c r="AF293" s="96">
        <v>2022</v>
      </c>
      <c r="AG293" s="96">
        <v>2022</v>
      </c>
    </row>
    <row r="294" spans="1:33" ht="84.9" hidden="1" customHeight="1" x14ac:dyDescent="0.45">
      <c r="A294" s="96">
        <v>274</v>
      </c>
      <c r="B294" s="96" t="s">
        <v>587</v>
      </c>
      <c r="C294" s="96" t="s">
        <v>182</v>
      </c>
      <c r="D294" s="96">
        <v>1966</v>
      </c>
      <c r="E294" s="96">
        <v>5</v>
      </c>
      <c r="F294" s="96">
        <v>4</v>
      </c>
      <c r="G294" s="96">
        <v>2736.7</v>
      </c>
      <c r="H294" s="96">
        <v>2704.3</v>
      </c>
      <c r="I294" s="96">
        <v>2704.3</v>
      </c>
      <c r="J294" s="96">
        <v>113</v>
      </c>
      <c r="K294" s="96" t="s">
        <v>365</v>
      </c>
      <c r="L294" s="96" t="s">
        <v>366</v>
      </c>
      <c r="M294" s="96"/>
      <c r="N294" s="99"/>
      <c r="O294" s="99">
        <v>2377151.2400000002</v>
      </c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>
        <v>124000</v>
      </c>
      <c r="AA294" s="99">
        <f t="shared" si="46"/>
        <v>2501151.2400000002</v>
      </c>
      <c r="AB294" s="99">
        <f t="shared" si="47"/>
        <v>2501151.2400000002</v>
      </c>
      <c r="AC294" s="99"/>
      <c r="AD294" s="99"/>
      <c r="AE294" s="101"/>
      <c r="AF294" s="96">
        <v>2022</v>
      </c>
      <c r="AG294" s="96">
        <v>2022</v>
      </c>
    </row>
    <row r="295" spans="1:33" ht="84.9" hidden="1" customHeight="1" x14ac:dyDescent="0.45">
      <c r="A295" s="96">
        <v>275</v>
      </c>
      <c r="B295" s="96" t="s">
        <v>587</v>
      </c>
      <c r="C295" s="96" t="s">
        <v>183</v>
      </c>
      <c r="D295" s="96" t="s">
        <v>390</v>
      </c>
      <c r="E295" s="96">
        <v>5</v>
      </c>
      <c r="F295" s="96">
        <v>4</v>
      </c>
      <c r="G295" s="96">
        <v>2731.9</v>
      </c>
      <c r="H295" s="96">
        <v>2717.9</v>
      </c>
      <c r="I295" s="96">
        <v>2717.9</v>
      </c>
      <c r="J295" s="96" t="s">
        <v>391</v>
      </c>
      <c r="K295" s="96" t="s">
        <v>365</v>
      </c>
      <c r="L295" s="96" t="s">
        <v>366</v>
      </c>
      <c r="M295" s="96"/>
      <c r="N295" s="99"/>
      <c r="O295" s="99">
        <v>2377151.2400000002</v>
      </c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>
        <v>124000</v>
      </c>
      <c r="AA295" s="99">
        <f t="shared" si="46"/>
        <v>2501151.2400000002</v>
      </c>
      <c r="AB295" s="99">
        <f t="shared" si="47"/>
        <v>2501151.2400000002</v>
      </c>
      <c r="AC295" s="99"/>
      <c r="AD295" s="99"/>
      <c r="AE295" s="101"/>
      <c r="AF295" s="96">
        <v>2022</v>
      </c>
      <c r="AG295" s="96">
        <v>2022</v>
      </c>
    </row>
    <row r="296" spans="1:33" ht="84.9" hidden="1" customHeight="1" x14ac:dyDescent="0.45">
      <c r="A296" s="96">
        <v>276</v>
      </c>
      <c r="B296" s="96" t="s">
        <v>587</v>
      </c>
      <c r="C296" s="96" t="s">
        <v>184</v>
      </c>
      <c r="D296" s="96" t="s">
        <v>384</v>
      </c>
      <c r="E296" s="96">
        <v>5</v>
      </c>
      <c r="F296" s="96">
        <v>8</v>
      </c>
      <c r="G296" s="96">
        <v>5811.1</v>
      </c>
      <c r="H296" s="96">
        <v>5621.7</v>
      </c>
      <c r="I296" s="96">
        <v>5621.7</v>
      </c>
      <c r="J296" s="96">
        <v>290</v>
      </c>
      <c r="K296" s="96" t="s">
        <v>365</v>
      </c>
      <c r="L296" s="96" t="s">
        <v>366</v>
      </c>
      <c r="M296" s="96"/>
      <c r="N296" s="99"/>
      <c r="O296" s="99">
        <v>2377151.2400000002</v>
      </c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>
        <v>124000</v>
      </c>
      <c r="AA296" s="99">
        <f t="shared" si="46"/>
        <v>2501151.2400000002</v>
      </c>
      <c r="AB296" s="99">
        <f t="shared" si="47"/>
        <v>2501151.2400000002</v>
      </c>
      <c r="AC296" s="99"/>
      <c r="AD296" s="99"/>
      <c r="AE296" s="101"/>
      <c r="AF296" s="96">
        <v>2022</v>
      </c>
      <c r="AG296" s="96">
        <v>2022</v>
      </c>
    </row>
    <row r="297" spans="1:33" ht="84.9" hidden="1" customHeight="1" x14ac:dyDescent="0.45">
      <c r="A297" s="96">
        <v>277</v>
      </c>
      <c r="B297" s="96" t="s">
        <v>587</v>
      </c>
      <c r="C297" s="96" t="s">
        <v>185</v>
      </c>
      <c r="D297" s="96" t="s">
        <v>392</v>
      </c>
      <c r="E297" s="96">
        <v>9</v>
      </c>
      <c r="F297" s="96">
        <v>2</v>
      </c>
      <c r="G297" s="96">
        <v>3836.2</v>
      </c>
      <c r="H297" s="96">
        <v>3834.9</v>
      </c>
      <c r="I297" s="96">
        <v>3817.5</v>
      </c>
      <c r="J297" s="96">
        <v>164</v>
      </c>
      <c r="K297" s="96" t="s">
        <v>365</v>
      </c>
      <c r="L297" s="96" t="s">
        <v>366</v>
      </c>
      <c r="M297" s="96"/>
      <c r="N297" s="99"/>
      <c r="O297" s="99">
        <v>2377151.2400000002</v>
      </c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>
        <v>124000</v>
      </c>
      <c r="AA297" s="99">
        <f t="shared" si="46"/>
        <v>2501151.2400000002</v>
      </c>
      <c r="AB297" s="99">
        <f t="shared" si="47"/>
        <v>2501151.2400000002</v>
      </c>
      <c r="AC297" s="99"/>
      <c r="AD297" s="99"/>
      <c r="AE297" s="101"/>
      <c r="AF297" s="96">
        <v>2022</v>
      </c>
      <c r="AG297" s="96">
        <v>2022</v>
      </c>
    </row>
    <row r="298" spans="1:33" ht="84.9" hidden="1" customHeight="1" x14ac:dyDescent="0.45">
      <c r="A298" s="96">
        <v>278</v>
      </c>
      <c r="B298" s="96" t="s">
        <v>587</v>
      </c>
      <c r="C298" s="96" t="s">
        <v>375</v>
      </c>
      <c r="D298" s="96">
        <v>1970</v>
      </c>
      <c r="E298" s="96">
        <v>5</v>
      </c>
      <c r="F298" s="96">
        <v>6</v>
      </c>
      <c r="G298" s="96">
        <v>4397.6000000000004</v>
      </c>
      <c r="H298" s="96">
        <v>4380.5</v>
      </c>
      <c r="I298" s="96">
        <v>4379.8</v>
      </c>
      <c r="J298" s="96">
        <v>210</v>
      </c>
      <c r="K298" s="96" t="s">
        <v>365</v>
      </c>
      <c r="L298" s="96" t="s">
        <v>366</v>
      </c>
      <c r="M298" s="96"/>
      <c r="N298" s="99"/>
      <c r="O298" s="99"/>
      <c r="P298" s="99"/>
      <c r="Q298" s="99"/>
      <c r="R298" s="99"/>
      <c r="S298" s="99"/>
      <c r="T298" s="99"/>
      <c r="U298" s="99"/>
      <c r="V298" s="99">
        <f>ROUND(H298*3517.3*1.015,2)</f>
        <v>15638645.640000001</v>
      </c>
      <c r="W298" s="99"/>
      <c r="X298" s="99"/>
      <c r="Y298" s="99"/>
      <c r="Z298" s="99">
        <v>742257.6</v>
      </c>
      <c r="AA298" s="99">
        <f t="shared" ref="AA298:AA302" si="48">SUM(V298+Z298)</f>
        <v>16380903.24</v>
      </c>
      <c r="AB298" s="99"/>
      <c r="AC298" s="99"/>
      <c r="AD298" s="99">
        <f>SUM(V298+Z298)</f>
        <v>16380903.24</v>
      </c>
      <c r="AE298" s="101"/>
      <c r="AF298" s="96">
        <v>2022</v>
      </c>
      <c r="AG298" s="96">
        <v>2022</v>
      </c>
    </row>
    <row r="299" spans="1:33" ht="84.9" hidden="1" customHeight="1" x14ac:dyDescent="0.45">
      <c r="A299" s="96">
        <v>279</v>
      </c>
      <c r="B299" s="96" t="s">
        <v>587</v>
      </c>
      <c r="C299" s="96" t="s">
        <v>377</v>
      </c>
      <c r="D299" s="96">
        <v>1990</v>
      </c>
      <c r="E299" s="96">
        <v>9</v>
      </c>
      <c r="F299" s="96">
        <v>4</v>
      </c>
      <c r="G299" s="97">
        <v>9668.5</v>
      </c>
      <c r="H299" s="97">
        <v>9393.5</v>
      </c>
      <c r="I299" s="97" t="s">
        <v>364</v>
      </c>
      <c r="J299" s="96" t="s">
        <v>364</v>
      </c>
      <c r="K299" s="96" t="s">
        <v>365</v>
      </c>
      <c r="L299" s="96" t="s">
        <v>366</v>
      </c>
      <c r="M299" s="96"/>
      <c r="N299" s="99"/>
      <c r="O299" s="99"/>
      <c r="P299" s="99"/>
      <c r="Q299" s="99"/>
      <c r="R299" s="99"/>
      <c r="S299" s="99"/>
      <c r="T299" s="99"/>
      <c r="U299" s="99"/>
      <c r="V299" s="99">
        <v>18250467.23</v>
      </c>
      <c r="W299" s="99"/>
      <c r="X299" s="99"/>
      <c r="Y299" s="99"/>
      <c r="Z299" s="99">
        <v>655244.74</v>
      </c>
      <c r="AA299" s="99">
        <f t="shared" si="48"/>
        <v>18905711.969999999</v>
      </c>
      <c r="AB299" s="99"/>
      <c r="AC299" s="99"/>
      <c r="AD299" s="99">
        <f>SUM(N299:Z299)</f>
        <v>18905711.969999999</v>
      </c>
      <c r="AE299" s="101"/>
      <c r="AF299" s="96">
        <v>2020</v>
      </c>
      <c r="AG299" s="96">
        <v>2022</v>
      </c>
    </row>
    <row r="300" spans="1:33" ht="84.9" hidden="1" customHeight="1" x14ac:dyDescent="0.45">
      <c r="A300" s="96">
        <v>280</v>
      </c>
      <c r="B300" s="96" t="s">
        <v>587</v>
      </c>
      <c r="C300" s="96" t="s">
        <v>186</v>
      </c>
      <c r="D300" s="96">
        <v>1950</v>
      </c>
      <c r="E300" s="96">
        <v>2</v>
      </c>
      <c r="F300" s="96">
        <v>2</v>
      </c>
      <c r="G300" s="97">
        <v>785.4</v>
      </c>
      <c r="H300" s="97">
        <v>709.9</v>
      </c>
      <c r="I300" s="97">
        <v>423.6</v>
      </c>
      <c r="J300" s="96">
        <v>16</v>
      </c>
      <c r="K300" s="96" t="s">
        <v>365</v>
      </c>
      <c r="L300" s="96" t="s">
        <v>366</v>
      </c>
      <c r="M300" s="96"/>
      <c r="N300" s="99"/>
      <c r="O300" s="99"/>
      <c r="P300" s="99"/>
      <c r="Q300" s="99"/>
      <c r="R300" s="99"/>
      <c r="S300" s="99"/>
      <c r="T300" s="99"/>
      <c r="U300" s="99"/>
      <c r="V300" s="99">
        <f>ROUND(H300*8645.31*1.015,2)</f>
        <v>6229365.1500000004</v>
      </c>
      <c r="W300" s="99"/>
      <c r="X300" s="99">
        <f>ROUND(H300*6480.9*1.015,2)</f>
        <v>4669802.7699999996</v>
      </c>
      <c r="Y300" s="99">
        <v>1006152.31</v>
      </c>
      <c r="Z300" s="99">
        <v>748788.68</v>
      </c>
      <c r="AA300" s="99">
        <f>SUM(V300:Z300)</f>
        <v>12654108.91</v>
      </c>
      <c r="AB300" s="99">
        <f t="shared" ref="AB300:AB308" si="49">AA300</f>
        <v>12654108.91</v>
      </c>
      <c r="AC300" s="99"/>
      <c r="AD300" s="99"/>
      <c r="AE300" s="101"/>
      <c r="AF300" s="96">
        <v>2022</v>
      </c>
      <c r="AG300" s="96">
        <v>2023</v>
      </c>
    </row>
    <row r="301" spans="1:33" ht="84.9" hidden="1" customHeight="1" x14ac:dyDescent="0.45">
      <c r="A301" s="96">
        <v>281</v>
      </c>
      <c r="B301" s="96" t="s">
        <v>587</v>
      </c>
      <c r="C301" s="96" t="s">
        <v>187</v>
      </c>
      <c r="D301" s="96" t="s">
        <v>388</v>
      </c>
      <c r="E301" s="96">
        <v>5</v>
      </c>
      <c r="F301" s="96">
        <v>6</v>
      </c>
      <c r="G301" s="97">
        <v>3410.8</v>
      </c>
      <c r="H301" s="97">
        <v>3315.6</v>
      </c>
      <c r="I301" s="97">
        <v>3315.6</v>
      </c>
      <c r="J301" s="96">
        <v>153</v>
      </c>
      <c r="K301" s="96" t="s">
        <v>365</v>
      </c>
      <c r="L301" s="96" t="s">
        <v>366</v>
      </c>
      <c r="M301" s="96"/>
      <c r="N301" s="99"/>
      <c r="O301" s="99">
        <v>4754302.4800000004</v>
      </c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>
        <v>248000</v>
      </c>
      <c r="AA301" s="99">
        <f t="shared" ref="AA301:AA308" si="50">SUM(O301+Z301)</f>
        <v>5002302.4800000004</v>
      </c>
      <c r="AB301" s="99">
        <f t="shared" si="49"/>
        <v>5002302.4800000004</v>
      </c>
      <c r="AC301" s="99"/>
      <c r="AD301" s="99"/>
      <c r="AE301" s="101"/>
      <c r="AF301" s="96">
        <v>2022</v>
      </c>
      <c r="AG301" s="96">
        <v>2022</v>
      </c>
    </row>
    <row r="302" spans="1:33" ht="84.9" hidden="1" customHeight="1" x14ac:dyDescent="0.45">
      <c r="A302" s="96">
        <v>282</v>
      </c>
      <c r="B302" s="96" t="s">
        <v>587</v>
      </c>
      <c r="C302" s="96" t="s">
        <v>398</v>
      </c>
      <c r="D302" s="96">
        <v>1968</v>
      </c>
      <c r="E302" s="96">
        <v>5</v>
      </c>
      <c r="F302" s="96">
        <v>4</v>
      </c>
      <c r="G302" s="97">
        <v>3031.1</v>
      </c>
      <c r="H302" s="97">
        <v>2906.7</v>
      </c>
      <c r="I302" s="97">
        <v>2880.1</v>
      </c>
      <c r="J302" s="96">
        <v>158</v>
      </c>
      <c r="K302" s="96" t="s">
        <v>365</v>
      </c>
      <c r="L302" s="96" t="s">
        <v>366</v>
      </c>
      <c r="M302" s="96"/>
      <c r="N302" s="99"/>
      <c r="O302" s="99"/>
      <c r="P302" s="99"/>
      <c r="Q302" s="99"/>
      <c r="R302" s="99"/>
      <c r="S302" s="99"/>
      <c r="T302" s="99"/>
      <c r="U302" s="99"/>
      <c r="V302" s="99">
        <f>ROUND(H302*3517.3*1.015,2)</f>
        <v>10377091.949999999</v>
      </c>
      <c r="W302" s="99"/>
      <c r="X302" s="99"/>
      <c r="Y302" s="99"/>
      <c r="Z302" s="99">
        <v>685877.2</v>
      </c>
      <c r="AA302" s="99">
        <f t="shared" si="48"/>
        <v>11062969.149999999</v>
      </c>
      <c r="AB302" s="99"/>
      <c r="AC302" s="99"/>
      <c r="AD302" s="99">
        <f>SUM(V302:Z302)</f>
        <v>11062969.149999999</v>
      </c>
      <c r="AE302" s="101"/>
      <c r="AF302" s="96">
        <v>2022</v>
      </c>
      <c r="AG302" s="96">
        <v>2022</v>
      </c>
    </row>
    <row r="303" spans="1:33" ht="84.9" hidden="1" customHeight="1" x14ac:dyDescent="0.45">
      <c r="A303" s="96">
        <v>283</v>
      </c>
      <c r="B303" s="96" t="s">
        <v>587</v>
      </c>
      <c r="C303" s="96" t="s">
        <v>188</v>
      </c>
      <c r="D303" s="96">
        <v>1967</v>
      </c>
      <c r="E303" s="96">
        <v>5</v>
      </c>
      <c r="F303" s="96">
        <v>6</v>
      </c>
      <c r="G303" s="97">
        <v>4433.1000000000004</v>
      </c>
      <c r="H303" s="97">
        <v>4401.8</v>
      </c>
      <c r="I303" s="97">
        <v>4401.8</v>
      </c>
      <c r="J303" s="96">
        <v>204</v>
      </c>
      <c r="K303" s="96" t="s">
        <v>365</v>
      </c>
      <c r="L303" s="96" t="s">
        <v>366</v>
      </c>
      <c r="M303" s="96"/>
      <c r="N303" s="99"/>
      <c r="O303" s="99">
        <v>2377151.2400000002</v>
      </c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>
        <v>124000</v>
      </c>
      <c r="AA303" s="99">
        <f t="shared" si="50"/>
        <v>2501151.2400000002</v>
      </c>
      <c r="AB303" s="99">
        <f t="shared" si="49"/>
        <v>2501151.2400000002</v>
      </c>
      <c r="AC303" s="99"/>
      <c r="AD303" s="99"/>
      <c r="AE303" s="101"/>
      <c r="AF303" s="96">
        <v>2022</v>
      </c>
      <c r="AG303" s="96">
        <v>2022</v>
      </c>
    </row>
    <row r="304" spans="1:33" ht="84.9" hidden="1" customHeight="1" x14ac:dyDescent="0.45">
      <c r="A304" s="96">
        <v>284</v>
      </c>
      <c r="B304" s="96" t="s">
        <v>587</v>
      </c>
      <c r="C304" s="96" t="s">
        <v>189</v>
      </c>
      <c r="D304" s="96">
        <v>1980</v>
      </c>
      <c r="E304" s="96">
        <v>9</v>
      </c>
      <c r="F304" s="96">
        <v>1</v>
      </c>
      <c r="G304" s="97">
        <v>2707</v>
      </c>
      <c r="H304" s="97">
        <v>2398.5</v>
      </c>
      <c r="I304" s="97">
        <v>2343</v>
      </c>
      <c r="J304" s="96">
        <v>113</v>
      </c>
      <c r="K304" s="96" t="s">
        <v>365</v>
      </c>
      <c r="L304" s="96" t="s">
        <v>366</v>
      </c>
      <c r="M304" s="96"/>
      <c r="N304" s="99"/>
      <c r="O304" s="99">
        <v>2377151.2400000002</v>
      </c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>
        <v>124000</v>
      </c>
      <c r="AA304" s="99">
        <f t="shared" si="50"/>
        <v>2501151.2400000002</v>
      </c>
      <c r="AB304" s="99">
        <f t="shared" si="49"/>
        <v>2501151.2400000002</v>
      </c>
      <c r="AC304" s="99"/>
      <c r="AD304" s="99"/>
      <c r="AE304" s="101"/>
      <c r="AF304" s="96">
        <v>2022</v>
      </c>
      <c r="AG304" s="96">
        <v>2022</v>
      </c>
    </row>
    <row r="305" spans="1:33" ht="84.9" hidden="1" customHeight="1" x14ac:dyDescent="0.45">
      <c r="A305" s="96">
        <v>285</v>
      </c>
      <c r="B305" s="96" t="s">
        <v>587</v>
      </c>
      <c r="C305" s="96" t="s">
        <v>190</v>
      </c>
      <c r="D305" s="96">
        <v>1981</v>
      </c>
      <c r="E305" s="96">
        <v>9</v>
      </c>
      <c r="F305" s="96">
        <v>1</v>
      </c>
      <c r="G305" s="97">
        <v>1886.3</v>
      </c>
      <c r="H305" s="97">
        <v>1215.5999999999999</v>
      </c>
      <c r="I305" s="97">
        <v>1215.5999999999999</v>
      </c>
      <c r="J305" s="96">
        <v>41</v>
      </c>
      <c r="K305" s="96" t="s">
        <v>365</v>
      </c>
      <c r="L305" s="96" t="s">
        <v>366</v>
      </c>
      <c r="M305" s="96"/>
      <c r="N305" s="99"/>
      <c r="O305" s="99">
        <v>4754302.4800000004</v>
      </c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>
        <v>248000</v>
      </c>
      <c r="AA305" s="99">
        <f t="shared" si="50"/>
        <v>5002302.4800000004</v>
      </c>
      <c r="AB305" s="99">
        <f t="shared" si="49"/>
        <v>5002302.4800000004</v>
      </c>
      <c r="AC305" s="99"/>
      <c r="AD305" s="99"/>
      <c r="AE305" s="101"/>
      <c r="AF305" s="96">
        <v>2022</v>
      </c>
      <c r="AG305" s="96">
        <v>2022</v>
      </c>
    </row>
    <row r="306" spans="1:33" ht="84.9" hidden="1" customHeight="1" x14ac:dyDescent="0.45">
      <c r="A306" s="96">
        <v>286</v>
      </c>
      <c r="B306" s="96" t="s">
        <v>587</v>
      </c>
      <c r="C306" s="96" t="s">
        <v>191</v>
      </c>
      <c r="D306" s="96">
        <v>1981</v>
      </c>
      <c r="E306" s="96">
        <v>9</v>
      </c>
      <c r="F306" s="96">
        <v>2</v>
      </c>
      <c r="G306" s="97">
        <v>4496</v>
      </c>
      <c r="H306" s="97">
        <v>3844.9</v>
      </c>
      <c r="I306" s="97">
        <v>3814.5</v>
      </c>
      <c r="J306" s="96" t="s">
        <v>364</v>
      </c>
      <c r="K306" s="96" t="s">
        <v>365</v>
      </c>
      <c r="L306" s="96" t="s">
        <v>366</v>
      </c>
      <c r="M306" s="96"/>
      <c r="N306" s="99"/>
      <c r="O306" s="99">
        <v>2377151.2400000002</v>
      </c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>
        <v>124000</v>
      </c>
      <c r="AA306" s="99">
        <f t="shared" si="50"/>
        <v>2501151.2400000002</v>
      </c>
      <c r="AB306" s="99">
        <f t="shared" si="49"/>
        <v>2501151.2400000002</v>
      </c>
      <c r="AC306" s="99"/>
      <c r="AD306" s="99"/>
      <c r="AE306" s="101"/>
      <c r="AF306" s="96">
        <v>2022</v>
      </c>
      <c r="AG306" s="96">
        <v>2022</v>
      </c>
    </row>
    <row r="307" spans="1:33" ht="84.9" hidden="1" customHeight="1" x14ac:dyDescent="0.45">
      <c r="A307" s="96">
        <v>287</v>
      </c>
      <c r="B307" s="96" t="s">
        <v>587</v>
      </c>
      <c r="C307" s="96" t="s">
        <v>192</v>
      </c>
      <c r="D307" s="96">
        <v>1981</v>
      </c>
      <c r="E307" s="96">
        <v>9</v>
      </c>
      <c r="F307" s="96">
        <v>2</v>
      </c>
      <c r="G307" s="97">
        <v>4080.5</v>
      </c>
      <c r="H307" s="97">
        <v>4080.7</v>
      </c>
      <c r="I307" s="97">
        <v>3832.3</v>
      </c>
      <c r="J307" s="96">
        <v>202</v>
      </c>
      <c r="K307" s="96" t="s">
        <v>365</v>
      </c>
      <c r="L307" s="96" t="s">
        <v>366</v>
      </c>
      <c r="M307" s="96"/>
      <c r="N307" s="99"/>
      <c r="O307" s="99">
        <v>2377151.2400000002</v>
      </c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>
        <v>124000</v>
      </c>
      <c r="AA307" s="99">
        <f t="shared" si="50"/>
        <v>2501151.2400000002</v>
      </c>
      <c r="AB307" s="99">
        <f t="shared" si="49"/>
        <v>2501151.2400000002</v>
      </c>
      <c r="AC307" s="99"/>
      <c r="AD307" s="99"/>
      <c r="AE307" s="101"/>
      <c r="AF307" s="96">
        <v>2022</v>
      </c>
      <c r="AG307" s="96">
        <v>2022</v>
      </c>
    </row>
    <row r="308" spans="1:33" ht="84.9" hidden="1" customHeight="1" x14ac:dyDescent="0.45">
      <c r="A308" s="96">
        <v>288</v>
      </c>
      <c r="B308" s="96" t="s">
        <v>587</v>
      </c>
      <c r="C308" s="96" t="s">
        <v>193</v>
      </c>
      <c r="D308" s="96">
        <v>1967</v>
      </c>
      <c r="E308" s="96">
        <v>5</v>
      </c>
      <c r="F308" s="96">
        <v>8</v>
      </c>
      <c r="G308" s="97">
        <v>5757.4</v>
      </c>
      <c r="H308" s="97">
        <v>3986.4</v>
      </c>
      <c r="I308" s="97">
        <v>3986.4</v>
      </c>
      <c r="J308" s="96">
        <v>267</v>
      </c>
      <c r="K308" s="96" t="s">
        <v>365</v>
      </c>
      <c r="L308" s="96" t="s">
        <v>366</v>
      </c>
      <c r="M308" s="96"/>
      <c r="N308" s="99"/>
      <c r="O308" s="99">
        <v>2377151.2400000002</v>
      </c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>
        <v>124000</v>
      </c>
      <c r="AA308" s="99">
        <f t="shared" si="50"/>
        <v>2501151.2400000002</v>
      </c>
      <c r="AB308" s="99">
        <f t="shared" si="49"/>
        <v>2501151.2400000002</v>
      </c>
      <c r="AC308" s="99"/>
      <c r="AD308" s="99"/>
      <c r="AE308" s="101"/>
      <c r="AF308" s="96">
        <v>2022</v>
      </c>
      <c r="AG308" s="96">
        <v>2022</v>
      </c>
    </row>
    <row r="309" spans="1:33" ht="84.9" hidden="1" customHeight="1" x14ac:dyDescent="0.45">
      <c r="A309" s="96">
        <v>289</v>
      </c>
      <c r="B309" s="96" t="s">
        <v>587</v>
      </c>
      <c r="C309" s="96" t="s">
        <v>194</v>
      </c>
      <c r="D309" s="96">
        <v>1968</v>
      </c>
      <c r="E309" s="96">
        <v>5</v>
      </c>
      <c r="F309" s="96">
        <v>6</v>
      </c>
      <c r="G309" s="97">
        <v>4818.8999999999996</v>
      </c>
      <c r="H309" s="97">
        <v>4818.8999999999996</v>
      </c>
      <c r="I309" s="97">
        <v>4817.5</v>
      </c>
      <c r="J309" s="96">
        <v>234</v>
      </c>
      <c r="K309" s="96" t="s">
        <v>365</v>
      </c>
      <c r="L309" s="96" t="s">
        <v>366</v>
      </c>
      <c r="M309" s="96"/>
      <c r="N309" s="99"/>
      <c r="O309" s="99">
        <v>2377151.2400000002</v>
      </c>
      <c r="P309" s="99"/>
      <c r="Q309" s="99"/>
      <c r="R309" s="99"/>
      <c r="S309" s="99"/>
      <c r="T309" s="99"/>
      <c r="U309" s="99"/>
      <c r="V309" s="99">
        <f>ROUND(H309*3517.3*1.015,2)</f>
        <v>17203759.719999999</v>
      </c>
      <c r="W309" s="99"/>
      <c r="X309" s="99"/>
      <c r="Y309" s="99"/>
      <c r="Z309" s="99">
        <v>884248.6</v>
      </c>
      <c r="AA309" s="99">
        <f>SUM(N309:Z309)</f>
        <v>20465159.560000002</v>
      </c>
      <c r="AB309" s="99">
        <v>2501151.2400000002</v>
      </c>
      <c r="AC309" s="99"/>
      <c r="AD309" s="99">
        <v>17964008.32</v>
      </c>
      <c r="AE309" s="101"/>
      <c r="AF309" s="96">
        <v>2022</v>
      </c>
      <c r="AG309" s="96">
        <v>2022</v>
      </c>
    </row>
    <row r="310" spans="1:33" ht="84.9" hidden="1" customHeight="1" x14ac:dyDescent="0.45">
      <c r="A310" s="96">
        <v>290</v>
      </c>
      <c r="B310" s="96" t="s">
        <v>587</v>
      </c>
      <c r="C310" s="96" t="s">
        <v>195</v>
      </c>
      <c r="D310" s="96">
        <v>1968</v>
      </c>
      <c r="E310" s="96">
        <v>5</v>
      </c>
      <c r="F310" s="96">
        <v>8</v>
      </c>
      <c r="G310" s="97">
        <v>5773</v>
      </c>
      <c r="H310" s="97">
        <v>5710.9</v>
      </c>
      <c r="I310" s="97">
        <v>5710.9</v>
      </c>
      <c r="J310" s="96" t="s">
        <v>403</v>
      </c>
      <c r="K310" s="96" t="s">
        <v>365</v>
      </c>
      <c r="L310" s="96" t="s">
        <v>366</v>
      </c>
      <c r="M310" s="96"/>
      <c r="N310" s="99"/>
      <c r="O310" s="99">
        <v>2377151.2400000002</v>
      </c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>
        <v>124000</v>
      </c>
      <c r="AA310" s="99">
        <f t="shared" ref="AA310:AA319" si="51">SUM(O310+Z310)</f>
        <v>2501151.2400000002</v>
      </c>
      <c r="AB310" s="99">
        <v>2501151.2400000002</v>
      </c>
      <c r="AC310" s="99"/>
      <c r="AD310" s="99"/>
      <c r="AE310" s="101"/>
      <c r="AF310" s="96">
        <v>2022</v>
      </c>
      <c r="AG310" s="96">
        <v>2022</v>
      </c>
    </row>
    <row r="311" spans="1:33" ht="84.9" hidden="1" customHeight="1" x14ac:dyDescent="0.45">
      <c r="A311" s="96">
        <v>291</v>
      </c>
      <c r="B311" s="96" t="s">
        <v>587</v>
      </c>
      <c r="C311" s="96" t="s">
        <v>196</v>
      </c>
      <c r="D311" s="96" t="s">
        <v>404</v>
      </c>
      <c r="E311" s="96">
        <v>5</v>
      </c>
      <c r="F311" s="96">
        <v>8</v>
      </c>
      <c r="G311" s="97">
        <v>5924.7</v>
      </c>
      <c r="H311" s="97">
        <v>5801.3</v>
      </c>
      <c r="I311" s="97">
        <v>5801.3</v>
      </c>
      <c r="J311" s="96">
        <v>299</v>
      </c>
      <c r="K311" s="96" t="s">
        <v>365</v>
      </c>
      <c r="L311" s="96" t="s">
        <v>366</v>
      </c>
      <c r="M311" s="96"/>
      <c r="N311" s="99"/>
      <c r="O311" s="99">
        <v>2377151.2400000002</v>
      </c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>
        <v>124000</v>
      </c>
      <c r="AA311" s="99">
        <f t="shared" si="51"/>
        <v>2501151.2400000002</v>
      </c>
      <c r="AB311" s="99">
        <v>2501151.2400000002</v>
      </c>
      <c r="AC311" s="99"/>
      <c r="AD311" s="99"/>
      <c r="AE311" s="101"/>
      <c r="AF311" s="96">
        <v>2022</v>
      </c>
      <c r="AG311" s="96">
        <v>2022</v>
      </c>
    </row>
    <row r="312" spans="1:33" ht="84.9" hidden="1" customHeight="1" x14ac:dyDescent="0.45">
      <c r="A312" s="96">
        <v>292</v>
      </c>
      <c r="B312" s="96" t="s">
        <v>587</v>
      </c>
      <c r="C312" s="96" t="s">
        <v>197</v>
      </c>
      <c r="D312" s="96" t="s">
        <v>405</v>
      </c>
      <c r="E312" s="96">
        <v>5</v>
      </c>
      <c r="F312" s="96">
        <v>1</v>
      </c>
      <c r="G312" s="97">
        <v>3911.5</v>
      </c>
      <c r="H312" s="97">
        <v>3492.3</v>
      </c>
      <c r="I312" s="97">
        <v>2905.5</v>
      </c>
      <c r="J312" s="96" t="s">
        <v>406</v>
      </c>
      <c r="K312" s="96" t="s">
        <v>365</v>
      </c>
      <c r="L312" s="96" t="s">
        <v>366</v>
      </c>
      <c r="M312" s="96"/>
      <c r="N312" s="99"/>
      <c r="O312" s="99">
        <v>2377151.2400000002</v>
      </c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>
        <v>124000</v>
      </c>
      <c r="AA312" s="99">
        <f t="shared" si="51"/>
        <v>2501151.2400000002</v>
      </c>
      <c r="AB312" s="99">
        <v>2501151.2400000002</v>
      </c>
      <c r="AC312" s="99"/>
      <c r="AD312" s="99"/>
      <c r="AE312" s="101"/>
      <c r="AF312" s="96">
        <v>2022</v>
      </c>
      <c r="AG312" s="96">
        <v>2022</v>
      </c>
    </row>
    <row r="313" spans="1:33" ht="84.9" hidden="1" customHeight="1" x14ac:dyDescent="0.45">
      <c r="A313" s="96">
        <v>293</v>
      </c>
      <c r="B313" s="96" t="s">
        <v>587</v>
      </c>
      <c r="C313" s="96" t="s">
        <v>198</v>
      </c>
      <c r="D313" s="96">
        <v>1987</v>
      </c>
      <c r="E313" s="96">
        <v>5</v>
      </c>
      <c r="F313" s="96">
        <v>4</v>
      </c>
      <c r="G313" s="97">
        <v>2825.7</v>
      </c>
      <c r="H313" s="97">
        <v>2808.1</v>
      </c>
      <c r="I313" s="97">
        <v>2808.1</v>
      </c>
      <c r="J313" s="96" t="s">
        <v>407</v>
      </c>
      <c r="K313" s="96" t="s">
        <v>365</v>
      </c>
      <c r="L313" s="96" t="s">
        <v>366</v>
      </c>
      <c r="M313" s="96"/>
      <c r="N313" s="99"/>
      <c r="O313" s="99">
        <v>2377151.2400000002</v>
      </c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>
        <v>124000</v>
      </c>
      <c r="AA313" s="99">
        <f t="shared" si="51"/>
        <v>2501151.2400000002</v>
      </c>
      <c r="AB313" s="99">
        <v>2501151.2400000002</v>
      </c>
      <c r="AC313" s="99"/>
      <c r="AD313" s="99"/>
      <c r="AE313" s="101"/>
      <c r="AF313" s="96">
        <v>2022</v>
      </c>
      <c r="AG313" s="96">
        <v>2022</v>
      </c>
    </row>
    <row r="314" spans="1:33" ht="84.9" hidden="1" customHeight="1" x14ac:dyDescent="0.45">
      <c r="A314" s="96">
        <v>294</v>
      </c>
      <c r="B314" s="96" t="s">
        <v>587</v>
      </c>
      <c r="C314" s="96" t="s">
        <v>199</v>
      </c>
      <c r="D314" s="96" t="s">
        <v>408</v>
      </c>
      <c r="E314" s="96">
        <v>5</v>
      </c>
      <c r="F314" s="96">
        <v>4</v>
      </c>
      <c r="G314" s="97">
        <v>2747.5</v>
      </c>
      <c r="H314" s="97">
        <v>2716.1</v>
      </c>
      <c r="I314" s="97">
        <v>2716.1</v>
      </c>
      <c r="J314" s="96">
        <v>142</v>
      </c>
      <c r="K314" s="96" t="s">
        <v>365</v>
      </c>
      <c r="L314" s="96" t="s">
        <v>366</v>
      </c>
      <c r="M314" s="96"/>
      <c r="N314" s="99"/>
      <c r="O314" s="99">
        <v>2377151.2400000002</v>
      </c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>
        <v>124000</v>
      </c>
      <c r="AA314" s="99">
        <f t="shared" si="51"/>
        <v>2501151.2400000002</v>
      </c>
      <c r="AB314" s="99">
        <v>2501151.2400000002</v>
      </c>
      <c r="AC314" s="99"/>
      <c r="AD314" s="99"/>
      <c r="AE314" s="101"/>
      <c r="AF314" s="96">
        <v>2022</v>
      </c>
      <c r="AG314" s="96">
        <v>2022</v>
      </c>
    </row>
    <row r="315" spans="1:33" ht="84.9" hidden="1" customHeight="1" x14ac:dyDescent="0.45">
      <c r="A315" s="96">
        <v>295</v>
      </c>
      <c r="B315" s="96" t="s">
        <v>587</v>
      </c>
      <c r="C315" s="96" t="s">
        <v>200</v>
      </c>
      <c r="D315" s="96">
        <v>1969</v>
      </c>
      <c r="E315" s="96">
        <v>5</v>
      </c>
      <c r="F315" s="96">
        <v>5</v>
      </c>
      <c r="G315" s="97">
        <v>3900.9</v>
      </c>
      <c r="H315" s="97">
        <v>3644.5</v>
      </c>
      <c r="I315" s="97">
        <v>3644.5</v>
      </c>
      <c r="J315" s="96">
        <v>177</v>
      </c>
      <c r="K315" s="96" t="s">
        <v>365</v>
      </c>
      <c r="L315" s="96" t="s">
        <v>366</v>
      </c>
      <c r="M315" s="96"/>
      <c r="N315" s="99"/>
      <c r="O315" s="99">
        <v>2377151.2400000002</v>
      </c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>
        <v>124000</v>
      </c>
      <c r="AA315" s="99">
        <f t="shared" si="51"/>
        <v>2501151.2400000002</v>
      </c>
      <c r="AB315" s="99">
        <v>2501151.2400000002</v>
      </c>
      <c r="AC315" s="99"/>
      <c r="AD315" s="99"/>
      <c r="AE315" s="101"/>
      <c r="AF315" s="96">
        <v>2022</v>
      </c>
      <c r="AG315" s="96">
        <v>2022</v>
      </c>
    </row>
    <row r="316" spans="1:33" ht="84.9" hidden="1" customHeight="1" x14ac:dyDescent="0.45">
      <c r="A316" s="96">
        <v>296</v>
      </c>
      <c r="B316" s="96" t="s">
        <v>587</v>
      </c>
      <c r="C316" s="96" t="s">
        <v>201</v>
      </c>
      <c r="D316" s="96">
        <v>1969</v>
      </c>
      <c r="E316" s="96">
        <v>5</v>
      </c>
      <c r="F316" s="96">
        <v>6</v>
      </c>
      <c r="G316" s="97">
        <v>4463.3999999999996</v>
      </c>
      <c r="H316" s="97">
        <v>4433.2</v>
      </c>
      <c r="I316" s="97">
        <v>4433.2</v>
      </c>
      <c r="J316" s="96">
        <v>253</v>
      </c>
      <c r="K316" s="96" t="s">
        <v>365</v>
      </c>
      <c r="L316" s="96" t="s">
        <v>366</v>
      </c>
      <c r="M316" s="96"/>
      <c r="N316" s="99"/>
      <c r="O316" s="99">
        <v>2377151.2400000002</v>
      </c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>
        <v>124000</v>
      </c>
      <c r="AA316" s="99">
        <f t="shared" si="51"/>
        <v>2501151.2400000002</v>
      </c>
      <c r="AB316" s="99">
        <v>2501151.2400000002</v>
      </c>
      <c r="AC316" s="99"/>
      <c r="AD316" s="99"/>
      <c r="AE316" s="101"/>
      <c r="AF316" s="96">
        <v>2022</v>
      </c>
      <c r="AG316" s="96">
        <v>2022</v>
      </c>
    </row>
    <row r="317" spans="1:33" ht="84.9" hidden="1" customHeight="1" x14ac:dyDescent="0.45">
      <c r="A317" s="96">
        <v>297</v>
      </c>
      <c r="B317" s="96" t="s">
        <v>587</v>
      </c>
      <c r="C317" s="96" t="s">
        <v>202</v>
      </c>
      <c r="D317" s="96">
        <v>1969</v>
      </c>
      <c r="E317" s="96">
        <v>5</v>
      </c>
      <c r="F317" s="96">
        <v>4</v>
      </c>
      <c r="G317" s="97">
        <v>2762.9</v>
      </c>
      <c r="H317" s="97">
        <v>2762.9</v>
      </c>
      <c r="I317" s="97">
        <v>2762.9</v>
      </c>
      <c r="J317" s="96">
        <v>145</v>
      </c>
      <c r="K317" s="96" t="s">
        <v>365</v>
      </c>
      <c r="L317" s="96" t="s">
        <v>366</v>
      </c>
      <c r="M317" s="96"/>
      <c r="N317" s="99"/>
      <c r="O317" s="99">
        <v>2377151.2400000002</v>
      </c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>
        <v>124000</v>
      </c>
      <c r="AA317" s="99">
        <f t="shared" si="51"/>
        <v>2501151.2400000002</v>
      </c>
      <c r="AB317" s="99">
        <v>2501151.2400000002</v>
      </c>
      <c r="AC317" s="99"/>
      <c r="AD317" s="99"/>
      <c r="AE317" s="101"/>
      <c r="AF317" s="96">
        <v>2022</v>
      </c>
      <c r="AG317" s="96">
        <v>2022</v>
      </c>
    </row>
    <row r="318" spans="1:33" ht="84.9" hidden="1" customHeight="1" x14ac:dyDescent="0.45">
      <c r="A318" s="96">
        <v>298</v>
      </c>
      <c r="B318" s="96" t="s">
        <v>587</v>
      </c>
      <c r="C318" s="96" t="s">
        <v>203</v>
      </c>
      <c r="D318" s="96">
        <v>1969</v>
      </c>
      <c r="E318" s="96">
        <v>5</v>
      </c>
      <c r="F318" s="96">
        <v>4</v>
      </c>
      <c r="G318" s="97">
        <v>2928</v>
      </c>
      <c r="H318" s="97">
        <v>2731.2</v>
      </c>
      <c r="I318" s="97">
        <v>2731.2</v>
      </c>
      <c r="J318" s="96">
        <v>151</v>
      </c>
      <c r="K318" s="96" t="s">
        <v>365</v>
      </c>
      <c r="L318" s="96" t="s">
        <v>366</v>
      </c>
      <c r="M318" s="96"/>
      <c r="N318" s="99"/>
      <c r="O318" s="99">
        <v>2377151.2400000002</v>
      </c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>
        <v>124000</v>
      </c>
      <c r="AA318" s="99">
        <f t="shared" si="51"/>
        <v>2501151.2400000002</v>
      </c>
      <c r="AB318" s="99">
        <v>2501151.2400000002</v>
      </c>
      <c r="AC318" s="99"/>
      <c r="AD318" s="99"/>
      <c r="AE318" s="101"/>
      <c r="AF318" s="96">
        <v>2022</v>
      </c>
      <c r="AG318" s="96">
        <v>2022</v>
      </c>
    </row>
    <row r="319" spans="1:33" ht="84.9" hidden="1" customHeight="1" x14ac:dyDescent="0.45">
      <c r="A319" s="96">
        <v>299</v>
      </c>
      <c r="B319" s="96" t="s">
        <v>587</v>
      </c>
      <c r="C319" s="96" t="s">
        <v>204</v>
      </c>
      <c r="D319" s="96" t="s">
        <v>409</v>
      </c>
      <c r="E319" s="96">
        <v>5</v>
      </c>
      <c r="F319" s="96">
        <v>4</v>
      </c>
      <c r="G319" s="97">
        <v>2681.2</v>
      </c>
      <c r="H319" s="97">
        <v>2664</v>
      </c>
      <c r="I319" s="97">
        <v>2664</v>
      </c>
      <c r="J319" s="96">
        <v>123</v>
      </c>
      <c r="K319" s="96" t="s">
        <v>365</v>
      </c>
      <c r="L319" s="96" t="s">
        <v>366</v>
      </c>
      <c r="M319" s="96"/>
      <c r="N319" s="99"/>
      <c r="O319" s="99">
        <v>2377151.2400000002</v>
      </c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>
        <v>124000</v>
      </c>
      <c r="AA319" s="99">
        <f t="shared" si="51"/>
        <v>2501151.2400000002</v>
      </c>
      <c r="AB319" s="99">
        <v>2501151.2400000002</v>
      </c>
      <c r="AC319" s="99"/>
      <c r="AD319" s="99"/>
      <c r="AE319" s="101"/>
      <c r="AF319" s="96">
        <v>2022</v>
      </c>
      <c r="AG319" s="96">
        <v>2022</v>
      </c>
    </row>
    <row r="320" spans="1:33" ht="84.9" hidden="1" customHeight="1" x14ac:dyDescent="0.45">
      <c r="A320" s="96">
        <v>300</v>
      </c>
      <c r="B320" s="96" t="s">
        <v>587</v>
      </c>
      <c r="C320" s="96" t="s">
        <v>843</v>
      </c>
      <c r="D320" s="96">
        <v>1993</v>
      </c>
      <c r="E320" s="96">
        <v>9</v>
      </c>
      <c r="F320" s="96">
        <v>3</v>
      </c>
      <c r="G320" s="97">
        <v>8696.1</v>
      </c>
      <c r="H320" s="97">
        <v>8696.1</v>
      </c>
      <c r="I320" s="97">
        <v>8696.1</v>
      </c>
      <c r="J320" s="96">
        <v>267</v>
      </c>
      <c r="K320" s="96" t="s">
        <v>365</v>
      </c>
      <c r="L320" s="96" t="s">
        <v>366</v>
      </c>
      <c r="M320" s="96"/>
      <c r="N320" s="99"/>
      <c r="O320" s="99"/>
      <c r="P320" s="99"/>
      <c r="Q320" s="99"/>
      <c r="R320" s="99"/>
      <c r="S320" s="99"/>
      <c r="T320" s="99"/>
      <c r="U320" s="99">
        <v>5554247.3499999996</v>
      </c>
      <c r="V320" s="99"/>
      <c r="W320" s="99"/>
      <c r="X320" s="99"/>
      <c r="Y320" s="99"/>
      <c r="Z320" s="99">
        <v>227835.12</v>
      </c>
      <c r="AA320" s="99">
        <f>SUM(U320+Z320)</f>
        <v>5782082.4699999997</v>
      </c>
      <c r="AB320" s="99"/>
      <c r="AC320" s="99"/>
      <c r="AD320" s="99">
        <f>AA320</f>
        <v>5782082.4699999997</v>
      </c>
      <c r="AE320" s="101"/>
      <c r="AF320" s="96">
        <v>2022</v>
      </c>
      <c r="AG320" s="96">
        <v>2022</v>
      </c>
    </row>
    <row r="321" spans="1:33" ht="84.9" hidden="1" customHeight="1" x14ac:dyDescent="0.45">
      <c r="A321" s="96">
        <v>301</v>
      </c>
      <c r="B321" s="96" t="s">
        <v>587</v>
      </c>
      <c r="C321" s="96" t="s">
        <v>206</v>
      </c>
      <c r="D321" s="96" t="s">
        <v>410</v>
      </c>
      <c r="E321" s="96">
        <v>9</v>
      </c>
      <c r="F321" s="96">
        <v>1</v>
      </c>
      <c r="G321" s="97">
        <v>3837.3</v>
      </c>
      <c r="H321" s="97">
        <v>3806.1</v>
      </c>
      <c r="I321" s="97">
        <v>3806.1</v>
      </c>
      <c r="J321" s="96">
        <v>218</v>
      </c>
      <c r="K321" s="96" t="s">
        <v>365</v>
      </c>
      <c r="L321" s="96" t="s">
        <v>366</v>
      </c>
      <c r="M321" s="96"/>
      <c r="N321" s="99"/>
      <c r="O321" s="99">
        <v>2377151.2400000002</v>
      </c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>
        <v>124000</v>
      </c>
      <c r="AA321" s="99">
        <f t="shared" ref="AA321:AA327" si="52">SUM(O321+Z321)</f>
        <v>2501151.2400000002</v>
      </c>
      <c r="AB321" s="99">
        <v>2501151.2400000002</v>
      </c>
      <c r="AC321" s="99"/>
      <c r="AD321" s="99"/>
      <c r="AE321" s="101"/>
      <c r="AF321" s="96">
        <v>2022</v>
      </c>
      <c r="AG321" s="96">
        <v>2022</v>
      </c>
    </row>
    <row r="322" spans="1:33" ht="84.9" hidden="1" customHeight="1" x14ac:dyDescent="0.45">
      <c r="A322" s="96">
        <v>302</v>
      </c>
      <c r="B322" s="96" t="s">
        <v>587</v>
      </c>
      <c r="C322" s="96" t="s">
        <v>207</v>
      </c>
      <c r="D322" s="96">
        <v>1970</v>
      </c>
      <c r="E322" s="96">
        <v>5</v>
      </c>
      <c r="F322" s="96">
        <v>6</v>
      </c>
      <c r="G322" s="97">
        <v>4398.5</v>
      </c>
      <c r="H322" s="97">
        <v>4380.8999999999996</v>
      </c>
      <c r="I322" s="97">
        <v>4380.8999999999996</v>
      </c>
      <c r="J322" s="96">
        <v>217</v>
      </c>
      <c r="K322" s="96" t="s">
        <v>365</v>
      </c>
      <c r="L322" s="96" t="s">
        <v>366</v>
      </c>
      <c r="M322" s="96"/>
      <c r="N322" s="99"/>
      <c r="O322" s="99">
        <v>2377151.2400000002</v>
      </c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>
        <v>124000</v>
      </c>
      <c r="AA322" s="99">
        <f t="shared" si="52"/>
        <v>2501151.2400000002</v>
      </c>
      <c r="AB322" s="99">
        <v>2501151.2400000002</v>
      </c>
      <c r="AC322" s="99"/>
      <c r="AD322" s="99"/>
      <c r="AE322" s="101"/>
      <c r="AF322" s="96">
        <v>2022</v>
      </c>
      <c r="AG322" s="96">
        <v>2022</v>
      </c>
    </row>
    <row r="323" spans="1:33" ht="84.9" hidden="1" customHeight="1" x14ac:dyDescent="0.45">
      <c r="A323" s="96">
        <v>303</v>
      </c>
      <c r="B323" s="96" t="s">
        <v>587</v>
      </c>
      <c r="C323" s="96" t="s">
        <v>208</v>
      </c>
      <c r="D323" s="96">
        <v>1966</v>
      </c>
      <c r="E323" s="96">
        <v>5</v>
      </c>
      <c r="F323" s="96">
        <v>4</v>
      </c>
      <c r="G323" s="97">
        <v>3035.1</v>
      </c>
      <c r="H323" s="97">
        <v>2734.8</v>
      </c>
      <c r="I323" s="97">
        <v>2734.8</v>
      </c>
      <c r="J323" s="96" t="s">
        <v>411</v>
      </c>
      <c r="K323" s="96" t="s">
        <v>365</v>
      </c>
      <c r="L323" s="96" t="s">
        <v>366</v>
      </c>
      <c r="M323" s="96"/>
      <c r="N323" s="99"/>
      <c r="O323" s="99">
        <v>2377151.2400000002</v>
      </c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>
        <v>124000</v>
      </c>
      <c r="AA323" s="99">
        <f t="shared" si="52"/>
        <v>2501151.2400000002</v>
      </c>
      <c r="AB323" s="99">
        <v>2501151.2400000002</v>
      </c>
      <c r="AC323" s="99"/>
      <c r="AD323" s="99"/>
      <c r="AE323" s="101"/>
      <c r="AF323" s="96">
        <v>2022</v>
      </c>
      <c r="AG323" s="96">
        <v>2022</v>
      </c>
    </row>
    <row r="324" spans="1:33" ht="84.9" hidden="1" customHeight="1" x14ac:dyDescent="0.45">
      <c r="A324" s="96">
        <v>304</v>
      </c>
      <c r="B324" s="96" t="s">
        <v>587</v>
      </c>
      <c r="C324" s="96" t="s">
        <v>209</v>
      </c>
      <c r="D324" s="96" t="s">
        <v>392</v>
      </c>
      <c r="E324" s="96">
        <v>9</v>
      </c>
      <c r="F324" s="96">
        <v>2</v>
      </c>
      <c r="G324" s="97">
        <v>3889.1</v>
      </c>
      <c r="H324" s="97">
        <v>3888.5</v>
      </c>
      <c r="I324" s="97">
        <v>3857.6</v>
      </c>
      <c r="J324" s="96">
        <v>185</v>
      </c>
      <c r="K324" s="96" t="s">
        <v>365</v>
      </c>
      <c r="L324" s="96" t="s">
        <v>366</v>
      </c>
      <c r="M324" s="96"/>
      <c r="N324" s="99"/>
      <c r="O324" s="99">
        <v>2377151.2400000002</v>
      </c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>
        <v>124000</v>
      </c>
      <c r="AA324" s="99">
        <f t="shared" si="52"/>
        <v>2501151.2400000002</v>
      </c>
      <c r="AB324" s="99">
        <v>2501151.2400000002</v>
      </c>
      <c r="AC324" s="99"/>
      <c r="AD324" s="99"/>
      <c r="AE324" s="101"/>
      <c r="AF324" s="96">
        <v>2022</v>
      </c>
      <c r="AG324" s="96">
        <v>2022</v>
      </c>
    </row>
    <row r="325" spans="1:33" ht="84.9" hidden="1" customHeight="1" x14ac:dyDescent="0.45">
      <c r="A325" s="96">
        <v>305</v>
      </c>
      <c r="B325" s="96" t="s">
        <v>587</v>
      </c>
      <c r="C325" s="96" t="s">
        <v>210</v>
      </c>
      <c r="D325" s="96" t="s">
        <v>392</v>
      </c>
      <c r="E325" s="96">
        <v>9</v>
      </c>
      <c r="F325" s="96">
        <v>2</v>
      </c>
      <c r="G325" s="97">
        <v>3883.9</v>
      </c>
      <c r="H325" s="97">
        <v>3883.1</v>
      </c>
      <c r="I325" s="97">
        <v>3866.1</v>
      </c>
      <c r="J325" s="96">
        <v>185</v>
      </c>
      <c r="K325" s="96" t="s">
        <v>365</v>
      </c>
      <c r="L325" s="96" t="s">
        <v>366</v>
      </c>
      <c r="M325" s="96"/>
      <c r="N325" s="99"/>
      <c r="O325" s="99">
        <v>2377151.2400000002</v>
      </c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>
        <v>124000</v>
      </c>
      <c r="AA325" s="99">
        <f t="shared" si="52"/>
        <v>2501151.2400000002</v>
      </c>
      <c r="AB325" s="99">
        <v>2501151.2400000002</v>
      </c>
      <c r="AC325" s="99"/>
      <c r="AD325" s="99"/>
      <c r="AE325" s="101"/>
      <c r="AF325" s="96">
        <v>2022</v>
      </c>
      <c r="AG325" s="96">
        <v>2022</v>
      </c>
    </row>
    <row r="326" spans="1:33" ht="84.9" hidden="1" customHeight="1" x14ac:dyDescent="0.45">
      <c r="A326" s="96">
        <v>306</v>
      </c>
      <c r="B326" s="96" t="s">
        <v>587</v>
      </c>
      <c r="C326" s="96" t="s">
        <v>211</v>
      </c>
      <c r="D326" s="96">
        <v>1970</v>
      </c>
      <c r="E326" s="96">
        <v>5</v>
      </c>
      <c r="F326" s="96">
        <v>4</v>
      </c>
      <c r="G326" s="97">
        <v>3502.6</v>
      </c>
      <c r="H326" s="97">
        <v>3499.6</v>
      </c>
      <c r="I326" s="97">
        <v>3480.4</v>
      </c>
      <c r="J326" s="96">
        <v>152</v>
      </c>
      <c r="K326" s="96" t="s">
        <v>365</v>
      </c>
      <c r="L326" s="96" t="s">
        <v>366</v>
      </c>
      <c r="M326" s="96"/>
      <c r="N326" s="99"/>
      <c r="O326" s="99">
        <v>2377151.2400000002</v>
      </c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>
        <v>124000</v>
      </c>
      <c r="AA326" s="99">
        <f t="shared" si="52"/>
        <v>2501151.2400000002</v>
      </c>
      <c r="AB326" s="99">
        <v>2501151.2400000002</v>
      </c>
      <c r="AC326" s="99"/>
      <c r="AD326" s="99"/>
      <c r="AE326" s="101"/>
      <c r="AF326" s="96">
        <v>2022</v>
      </c>
      <c r="AG326" s="96">
        <v>2022</v>
      </c>
    </row>
    <row r="327" spans="1:33" ht="84.9" hidden="1" customHeight="1" x14ac:dyDescent="0.45">
      <c r="A327" s="96">
        <v>307</v>
      </c>
      <c r="B327" s="96" t="s">
        <v>587</v>
      </c>
      <c r="C327" s="96" t="s">
        <v>212</v>
      </c>
      <c r="D327" s="96">
        <v>1971</v>
      </c>
      <c r="E327" s="96">
        <v>5</v>
      </c>
      <c r="F327" s="96">
        <v>4</v>
      </c>
      <c r="G327" s="97">
        <v>3470.5</v>
      </c>
      <c r="H327" s="97">
        <v>3466.8</v>
      </c>
      <c r="I327" s="97">
        <v>3447.6</v>
      </c>
      <c r="J327" s="96">
        <v>155</v>
      </c>
      <c r="K327" s="96" t="s">
        <v>365</v>
      </c>
      <c r="L327" s="96" t="s">
        <v>366</v>
      </c>
      <c r="M327" s="96"/>
      <c r="N327" s="99"/>
      <c r="O327" s="99">
        <v>2377151.2400000002</v>
      </c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>
        <v>124000</v>
      </c>
      <c r="AA327" s="99">
        <f t="shared" si="52"/>
        <v>2501151.2400000002</v>
      </c>
      <c r="AB327" s="99">
        <v>2501151.2400000002</v>
      </c>
      <c r="AC327" s="99"/>
      <c r="AD327" s="99"/>
      <c r="AE327" s="101"/>
      <c r="AF327" s="96">
        <v>2022</v>
      </c>
      <c r="AG327" s="96">
        <v>2022</v>
      </c>
    </row>
    <row r="328" spans="1:33" ht="84.9" hidden="1" customHeight="1" x14ac:dyDescent="0.45">
      <c r="A328" s="96">
        <v>308</v>
      </c>
      <c r="B328" s="96" t="s">
        <v>587</v>
      </c>
      <c r="C328" s="96" t="s">
        <v>213</v>
      </c>
      <c r="D328" s="96">
        <v>1957</v>
      </c>
      <c r="E328" s="96">
        <v>7</v>
      </c>
      <c r="F328" s="96">
        <v>3</v>
      </c>
      <c r="G328" s="97">
        <v>7353.7</v>
      </c>
      <c r="H328" s="97">
        <v>7353.7</v>
      </c>
      <c r="I328" s="97" t="s">
        <v>364</v>
      </c>
      <c r="J328" s="96">
        <v>185</v>
      </c>
      <c r="K328" s="96" t="s">
        <v>365</v>
      </c>
      <c r="L328" s="96" t="s">
        <v>366</v>
      </c>
      <c r="M328" s="96" t="s">
        <v>415</v>
      </c>
      <c r="N328" s="99"/>
      <c r="O328" s="99"/>
      <c r="P328" s="99"/>
      <c r="Q328" s="99"/>
      <c r="R328" s="99"/>
      <c r="S328" s="99"/>
      <c r="T328" s="99"/>
      <c r="U328" s="99"/>
      <c r="V328" s="99">
        <v>36092497.159999996</v>
      </c>
      <c r="W328" s="99"/>
      <c r="X328" s="99">
        <v>52776564.729999997</v>
      </c>
      <c r="Y328" s="99"/>
      <c r="Z328" s="99">
        <v>6128900.8200000003</v>
      </c>
      <c r="AA328" s="99">
        <f>SUM(N328:Z328)</f>
        <v>94997962.709999979</v>
      </c>
      <c r="AB328" s="99">
        <f>SUM(P328+AA328)</f>
        <v>94997962.709999979</v>
      </c>
      <c r="AC328" s="99"/>
      <c r="AD328" s="99"/>
      <c r="AE328" s="101"/>
      <c r="AF328" s="96">
        <v>2022</v>
      </c>
      <c r="AG328" s="96">
        <v>2023</v>
      </c>
    </row>
    <row r="329" spans="1:33" ht="84.9" hidden="1" customHeight="1" x14ac:dyDescent="0.45">
      <c r="A329" s="96">
        <v>309</v>
      </c>
      <c r="B329" s="96" t="s">
        <v>587</v>
      </c>
      <c r="C329" s="96" t="s">
        <v>214</v>
      </c>
      <c r="D329" s="96">
        <v>1962</v>
      </c>
      <c r="E329" s="96">
        <v>6</v>
      </c>
      <c r="F329" s="96">
        <v>6</v>
      </c>
      <c r="G329" s="97">
        <v>5852.7</v>
      </c>
      <c r="H329" s="97">
        <v>5852.7</v>
      </c>
      <c r="I329" s="97" t="s">
        <v>364</v>
      </c>
      <c r="J329" s="97" t="s">
        <v>364</v>
      </c>
      <c r="K329" s="96" t="s">
        <v>365</v>
      </c>
      <c r="L329" s="96" t="s">
        <v>366</v>
      </c>
      <c r="M329" s="96"/>
      <c r="N329" s="99"/>
      <c r="O329" s="99"/>
      <c r="P329" s="99"/>
      <c r="Q329" s="99"/>
      <c r="R329" s="99"/>
      <c r="S329" s="99"/>
      <c r="T329" s="99"/>
      <c r="U329" s="99"/>
      <c r="V329" s="99">
        <v>22141930.84</v>
      </c>
      <c r="W329" s="99"/>
      <c r="X329" s="99">
        <v>20409089.760000002</v>
      </c>
      <c r="Y329" s="99"/>
      <c r="Z329" s="99">
        <v>2934553.14</v>
      </c>
      <c r="AA329" s="99">
        <f>SUM(N329:Z329)</f>
        <v>45485573.740000002</v>
      </c>
      <c r="AB329" s="99">
        <f>SUM(P329+AA329)</f>
        <v>45485573.740000002</v>
      </c>
      <c r="AC329" s="99"/>
      <c r="AD329" s="99"/>
      <c r="AE329" s="101"/>
      <c r="AF329" s="96">
        <v>2022</v>
      </c>
      <c r="AG329" s="96">
        <v>2023</v>
      </c>
    </row>
    <row r="330" spans="1:33" ht="84.9" hidden="1" customHeight="1" x14ac:dyDescent="0.45">
      <c r="A330" s="96">
        <v>310</v>
      </c>
      <c r="B330" s="96" t="s">
        <v>587</v>
      </c>
      <c r="C330" s="96" t="s">
        <v>419</v>
      </c>
      <c r="D330" s="96">
        <v>1973</v>
      </c>
      <c r="E330" s="96">
        <v>5</v>
      </c>
      <c r="F330" s="96">
        <v>6</v>
      </c>
      <c r="G330" s="97">
        <v>5379.6</v>
      </c>
      <c r="H330" s="97">
        <f>4784.2+207.4</f>
        <v>4991.5999999999995</v>
      </c>
      <c r="I330" s="97" t="s">
        <v>364</v>
      </c>
      <c r="J330" s="96" t="s">
        <v>364</v>
      </c>
      <c r="K330" s="96" t="s">
        <v>423</v>
      </c>
      <c r="L330" s="96" t="s">
        <v>366</v>
      </c>
      <c r="M330" s="96"/>
      <c r="N330" s="99"/>
      <c r="O330" s="99">
        <f>ROUND(H330*3201.73*1.015,2)</f>
        <v>16221481.800000001</v>
      </c>
      <c r="P330" s="99"/>
      <c r="Q330" s="99"/>
      <c r="R330" s="99"/>
      <c r="S330" s="99">
        <f>ROUND(H330*665.62*1.015,2)</f>
        <v>3372346.42</v>
      </c>
      <c r="T330" s="99"/>
      <c r="U330" s="99"/>
      <c r="V330" s="99">
        <f>ROUND(3727.29*H330*1.015,2)</f>
        <v>18884217.879999999</v>
      </c>
      <c r="W330" s="99"/>
      <c r="X330" s="99">
        <f>ROUND(3435.59*H330*1.015,2)</f>
        <v>17406327.41</v>
      </c>
      <c r="Y330" s="99"/>
      <c r="Z330" s="99">
        <v>997058.37</v>
      </c>
      <c r="AA330" s="99">
        <f>SUM(O330:Z330)</f>
        <v>56881431.879999988</v>
      </c>
      <c r="AB330" s="99"/>
      <c r="AC330" s="99"/>
      <c r="AD330" s="99">
        <f>SUM(O330:Z330)</f>
        <v>56881431.879999988</v>
      </c>
      <c r="AE330" s="101"/>
      <c r="AF330" s="96">
        <v>2020</v>
      </c>
      <c r="AG330" s="96">
        <v>2022</v>
      </c>
    </row>
    <row r="331" spans="1:33" ht="84.9" hidden="1" customHeight="1" x14ac:dyDescent="0.45">
      <c r="A331" s="96">
        <v>311</v>
      </c>
      <c r="B331" s="96" t="s">
        <v>587</v>
      </c>
      <c r="C331" s="96" t="s">
        <v>844</v>
      </c>
      <c r="D331" s="96">
        <v>1976</v>
      </c>
      <c r="E331" s="96">
        <v>9</v>
      </c>
      <c r="F331" s="96">
        <v>4</v>
      </c>
      <c r="G331" s="97">
        <v>8728.9</v>
      </c>
      <c r="H331" s="97">
        <v>8728.9</v>
      </c>
      <c r="I331" s="97">
        <v>8728.9</v>
      </c>
      <c r="J331" s="96">
        <v>301</v>
      </c>
      <c r="K331" s="96" t="s">
        <v>365</v>
      </c>
      <c r="L331" s="96" t="s">
        <v>366</v>
      </c>
      <c r="M331" s="96"/>
      <c r="N331" s="99"/>
      <c r="O331" s="99"/>
      <c r="P331" s="99"/>
      <c r="Q331" s="99"/>
      <c r="R331" s="99"/>
      <c r="S331" s="99"/>
      <c r="T331" s="99"/>
      <c r="U331" s="99">
        <v>7405663.1399999997</v>
      </c>
      <c r="V331" s="99"/>
      <c r="W331" s="99"/>
      <c r="X331" s="99"/>
      <c r="Y331" s="99"/>
      <c r="Z331" s="99">
        <v>303780.15999999997</v>
      </c>
      <c r="AA331" s="99">
        <v>7709443.2999999998</v>
      </c>
      <c r="AB331" s="99"/>
      <c r="AC331" s="99"/>
      <c r="AD331" s="99">
        <v>7709443.2999999998</v>
      </c>
      <c r="AE331" s="101"/>
      <c r="AF331" s="96">
        <v>2022</v>
      </c>
      <c r="AG331" s="96">
        <v>2022</v>
      </c>
    </row>
    <row r="332" spans="1:33" ht="84.9" hidden="1" customHeight="1" x14ac:dyDescent="0.45">
      <c r="A332" s="96">
        <v>312</v>
      </c>
      <c r="B332" s="96" t="s">
        <v>587</v>
      </c>
      <c r="C332" s="96" t="s">
        <v>845</v>
      </c>
      <c r="D332" s="96">
        <v>1975</v>
      </c>
      <c r="E332" s="96">
        <v>9</v>
      </c>
      <c r="F332" s="96">
        <v>2</v>
      </c>
      <c r="G332" s="97">
        <v>4531</v>
      </c>
      <c r="H332" s="97">
        <v>4531</v>
      </c>
      <c r="I332" s="97">
        <v>4531</v>
      </c>
      <c r="J332" s="96">
        <v>166</v>
      </c>
      <c r="K332" s="96" t="s">
        <v>365</v>
      </c>
      <c r="L332" s="96" t="s">
        <v>366</v>
      </c>
      <c r="M332" s="96"/>
      <c r="N332" s="99"/>
      <c r="O332" s="99"/>
      <c r="P332" s="99"/>
      <c r="Q332" s="99"/>
      <c r="R332" s="99"/>
      <c r="S332" s="99"/>
      <c r="T332" s="99"/>
      <c r="U332" s="99">
        <v>3702831.57</v>
      </c>
      <c r="V332" s="99"/>
      <c r="W332" s="99"/>
      <c r="X332" s="99"/>
      <c r="Y332" s="99"/>
      <c r="Z332" s="99">
        <v>151890.07999999999</v>
      </c>
      <c r="AA332" s="99">
        <v>3854721.65</v>
      </c>
      <c r="AB332" s="99"/>
      <c r="AC332" s="99"/>
      <c r="AD332" s="99">
        <v>3854721.65</v>
      </c>
      <c r="AE332" s="101"/>
      <c r="AF332" s="96">
        <v>2022</v>
      </c>
      <c r="AG332" s="96">
        <v>2022</v>
      </c>
    </row>
    <row r="333" spans="1:33" ht="84.9" hidden="1" customHeight="1" x14ac:dyDescent="0.45">
      <c r="A333" s="96">
        <v>313</v>
      </c>
      <c r="B333" s="96" t="s">
        <v>587</v>
      </c>
      <c r="C333" s="96" t="s">
        <v>846</v>
      </c>
      <c r="D333" s="96">
        <v>1977</v>
      </c>
      <c r="E333" s="96">
        <v>9</v>
      </c>
      <c r="F333" s="96">
        <v>1</v>
      </c>
      <c r="G333" s="97">
        <v>3551.7</v>
      </c>
      <c r="H333" s="97">
        <v>3551.7</v>
      </c>
      <c r="I333" s="97">
        <v>3551.7</v>
      </c>
      <c r="J333" s="96">
        <v>112</v>
      </c>
      <c r="K333" s="96" t="s">
        <v>365</v>
      </c>
      <c r="L333" s="96" t="s">
        <v>366</v>
      </c>
      <c r="M333" s="96"/>
      <c r="N333" s="99"/>
      <c r="O333" s="99"/>
      <c r="P333" s="99"/>
      <c r="Q333" s="99"/>
      <c r="R333" s="99"/>
      <c r="S333" s="99"/>
      <c r="T333" s="99"/>
      <c r="U333" s="99">
        <v>1851415.78</v>
      </c>
      <c r="V333" s="99"/>
      <c r="W333" s="99"/>
      <c r="X333" s="99"/>
      <c r="Y333" s="99"/>
      <c r="Z333" s="99">
        <v>75945.039999999994</v>
      </c>
      <c r="AA333" s="99">
        <v>1927360.82</v>
      </c>
      <c r="AB333" s="99"/>
      <c r="AC333" s="99"/>
      <c r="AD333" s="99">
        <v>1927360.82</v>
      </c>
      <c r="AE333" s="101"/>
      <c r="AF333" s="96">
        <v>2022</v>
      </c>
      <c r="AG333" s="96">
        <v>2022</v>
      </c>
    </row>
    <row r="334" spans="1:33" ht="84.9" hidden="1" customHeight="1" x14ac:dyDescent="0.45">
      <c r="A334" s="96">
        <v>314</v>
      </c>
      <c r="B334" s="96" t="s">
        <v>587</v>
      </c>
      <c r="C334" s="96" t="s">
        <v>847</v>
      </c>
      <c r="D334" s="96">
        <v>1976</v>
      </c>
      <c r="E334" s="96">
        <v>9</v>
      </c>
      <c r="F334" s="96">
        <v>6</v>
      </c>
      <c r="G334" s="97">
        <v>13115.9</v>
      </c>
      <c r="H334" s="97">
        <v>13115.9</v>
      </c>
      <c r="I334" s="97">
        <v>13115.9</v>
      </c>
      <c r="J334" s="96">
        <v>506</v>
      </c>
      <c r="K334" s="96" t="s">
        <v>365</v>
      </c>
      <c r="L334" s="96" t="s">
        <v>366</v>
      </c>
      <c r="M334" s="96"/>
      <c r="N334" s="99"/>
      <c r="O334" s="99"/>
      <c r="P334" s="99"/>
      <c r="Q334" s="99"/>
      <c r="R334" s="99"/>
      <c r="S334" s="99"/>
      <c r="T334" s="99"/>
      <c r="U334" s="99">
        <v>11108494.710000001</v>
      </c>
      <c r="V334" s="99"/>
      <c r="W334" s="99"/>
      <c r="X334" s="99"/>
      <c r="Y334" s="99"/>
      <c r="Z334" s="99">
        <v>455670.24</v>
      </c>
      <c r="AA334" s="99">
        <v>11564164.949999999</v>
      </c>
      <c r="AB334" s="99"/>
      <c r="AC334" s="99"/>
      <c r="AD334" s="99">
        <v>11564164.949999999</v>
      </c>
      <c r="AE334" s="101"/>
      <c r="AF334" s="96">
        <v>2022</v>
      </c>
      <c r="AG334" s="96">
        <v>2022</v>
      </c>
    </row>
    <row r="335" spans="1:33" ht="84.9" hidden="1" customHeight="1" x14ac:dyDescent="0.45">
      <c r="A335" s="96">
        <v>315</v>
      </c>
      <c r="B335" s="96" t="s">
        <v>587</v>
      </c>
      <c r="C335" s="96" t="s">
        <v>216</v>
      </c>
      <c r="D335" s="96">
        <v>1976</v>
      </c>
      <c r="E335" s="96">
        <v>9</v>
      </c>
      <c r="F335" s="96">
        <v>2</v>
      </c>
      <c r="G335" s="97">
        <v>4070.84</v>
      </c>
      <c r="H335" s="97">
        <v>4070.84</v>
      </c>
      <c r="I335" s="97">
        <v>4070.84</v>
      </c>
      <c r="J335" s="96">
        <v>156</v>
      </c>
      <c r="K335" s="96" t="s">
        <v>365</v>
      </c>
      <c r="L335" s="96" t="s">
        <v>366</v>
      </c>
      <c r="M335" s="96"/>
      <c r="N335" s="99"/>
      <c r="O335" s="99"/>
      <c r="P335" s="99"/>
      <c r="Q335" s="99"/>
      <c r="R335" s="99"/>
      <c r="S335" s="99"/>
      <c r="T335" s="99"/>
      <c r="U335" s="99">
        <v>3702831.57</v>
      </c>
      <c r="V335" s="99"/>
      <c r="W335" s="99"/>
      <c r="X335" s="99"/>
      <c r="Y335" s="99"/>
      <c r="Z335" s="99">
        <v>151890.07999999999</v>
      </c>
      <c r="AA335" s="99">
        <f>SUM(U335+Z335)</f>
        <v>3854721.65</v>
      </c>
      <c r="AB335" s="99"/>
      <c r="AC335" s="99"/>
      <c r="AD335" s="99">
        <f>AA335</f>
        <v>3854721.65</v>
      </c>
      <c r="AE335" s="101"/>
      <c r="AF335" s="96">
        <v>2022</v>
      </c>
      <c r="AG335" s="96">
        <v>2022</v>
      </c>
    </row>
    <row r="336" spans="1:33" ht="84.9" hidden="1" customHeight="1" x14ac:dyDescent="0.45">
      <c r="A336" s="96">
        <v>316</v>
      </c>
      <c r="B336" s="96" t="s">
        <v>587</v>
      </c>
      <c r="C336" s="96" t="s">
        <v>217</v>
      </c>
      <c r="D336" s="96">
        <v>1976</v>
      </c>
      <c r="E336" s="96">
        <v>9</v>
      </c>
      <c r="F336" s="96">
        <v>2</v>
      </c>
      <c r="G336" s="97">
        <v>6093.6</v>
      </c>
      <c r="H336" s="97">
        <v>6093.6</v>
      </c>
      <c r="I336" s="97">
        <v>5316.3</v>
      </c>
      <c r="J336" s="96" t="s">
        <v>364</v>
      </c>
      <c r="K336" s="96" t="s">
        <v>365</v>
      </c>
      <c r="L336" s="96" t="s">
        <v>366</v>
      </c>
      <c r="M336" s="96"/>
      <c r="N336" s="99"/>
      <c r="O336" s="99"/>
      <c r="P336" s="99"/>
      <c r="Q336" s="99"/>
      <c r="R336" s="99"/>
      <c r="S336" s="99"/>
      <c r="T336" s="99"/>
      <c r="U336" s="99">
        <v>3702831.57</v>
      </c>
      <c r="V336" s="99"/>
      <c r="W336" s="99"/>
      <c r="X336" s="99"/>
      <c r="Y336" s="99"/>
      <c r="Z336" s="99">
        <v>151890.07999999999</v>
      </c>
      <c r="AA336" s="99">
        <f>SUM(U336+Z336)</f>
        <v>3854721.65</v>
      </c>
      <c r="AB336" s="99"/>
      <c r="AC336" s="99"/>
      <c r="AD336" s="99">
        <f>AA336</f>
        <v>3854721.65</v>
      </c>
      <c r="AE336" s="101"/>
      <c r="AF336" s="96">
        <v>2022</v>
      </c>
      <c r="AG336" s="96">
        <v>2022</v>
      </c>
    </row>
    <row r="337" spans="1:33" ht="84.9" hidden="1" customHeight="1" x14ac:dyDescent="0.45">
      <c r="A337" s="96">
        <v>317</v>
      </c>
      <c r="B337" s="96" t="s">
        <v>587</v>
      </c>
      <c r="C337" s="96" t="s">
        <v>218</v>
      </c>
      <c r="D337" s="96">
        <v>1972</v>
      </c>
      <c r="E337" s="96">
        <v>9</v>
      </c>
      <c r="F337" s="96">
        <v>2</v>
      </c>
      <c r="G337" s="97">
        <v>4723.8999999999996</v>
      </c>
      <c r="H337" s="97">
        <v>4713.1000000000004</v>
      </c>
      <c r="I337" s="97">
        <v>3856.1</v>
      </c>
      <c r="J337" s="96">
        <v>167</v>
      </c>
      <c r="K337" s="96" t="s">
        <v>365</v>
      </c>
      <c r="L337" s="96" t="s">
        <v>366</v>
      </c>
      <c r="M337" s="96"/>
      <c r="N337" s="99"/>
      <c r="O337" s="99">
        <v>2377151.2400000002</v>
      </c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>
        <v>124000</v>
      </c>
      <c r="AA337" s="99">
        <f t="shared" ref="AA337:AA351" si="53">SUM(O337+Z337)</f>
        <v>2501151.2400000002</v>
      </c>
      <c r="AB337" s="99">
        <v>2501151.2400000002</v>
      </c>
      <c r="AC337" s="99"/>
      <c r="AD337" s="99"/>
      <c r="AE337" s="101"/>
      <c r="AF337" s="96">
        <v>2022</v>
      </c>
      <c r="AG337" s="96">
        <v>2022</v>
      </c>
    </row>
    <row r="338" spans="1:33" ht="84.9" hidden="1" customHeight="1" x14ac:dyDescent="0.45">
      <c r="A338" s="96">
        <v>318</v>
      </c>
      <c r="B338" s="96" t="s">
        <v>587</v>
      </c>
      <c r="C338" s="96" t="s">
        <v>219</v>
      </c>
      <c r="D338" s="96">
        <v>1970</v>
      </c>
      <c r="E338" s="96">
        <v>9</v>
      </c>
      <c r="F338" s="96">
        <v>2</v>
      </c>
      <c r="G338" s="97">
        <v>3915.3</v>
      </c>
      <c r="H338" s="97">
        <v>3913.3</v>
      </c>
      <c r="I338" s="97">
        <v>3895.8</v>
      </c>
      <c r="J338" s="96">
        <v>175</v>
      </c>
      <c r="K338" s="96" t="s">
        <v>365</v>
      </c>
      <c r="L338" s="96" t="s">
        <v>366</v>
      </c>
      <c r="M338" s="96"/>
      <c r="N338" s="99"/>
      <c r="O338" s="99">
        <v>2377151.2400000002</v>
      </c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>
        <v>124000</v>
      </c>
      <c r="AA338" s="99">
        <f t="shared" si="53"/>
        <v>2501151.2400000002</v>
      </c>
      <c r="AB338" s="99">
        <v>2501151.2400000002</v>
      </c>
      <c r="AC338" s="99"/>
      <c r="AD338" s="99"/>
      <c r="AE338" s="101"/>
      <c r="AF338" s="96">
        <v>2022</v>
      </c>
      <c r="AG338" s="96">
        <v>2022</v>
      </c>
    </row>
    <row r="339" spans="1:33" ht="84.9" hidden="1" customHeight="1" x14ac:dyDescent="0.45">
      <c r="A339" s="96">
        <v>319</v>
      </c>
      <c r="B339" s="96" t="s">
        <v>587</v>
      </c>
      <c r="C339" s="96" t="s">
        <v>220</v>
      </c>
      <c r="D339" s="96">
        <v>1971</v>
      </c>
      <c r="E339" s="96">
        <v>9</v>
      </c>
      <c r="F339" s="96">
        <v>4</v>
      </c>
      <c r="G339" s="97">
        <v>7574.1</v>
      </c>
      <c r="H339" s="97">
        <v>7572.3</v>
      </c>
      <c r="I339" s="97">
        <v>7544.1</v>
      </c>
      <c r="J339" s="96">
        <v>331</v>
      </c>
      <c r="K339" s="96" t="s">
        <v>365</v>
      </c>
      <c r="L339" s="96" t="s">
        <v>366</v>
      </c>
      <c r="M339" s="96"/>
      <c r="N339" s="99"/>
      <c r="O339" s="99">
        <v>4754302.4800000004</v>
      </c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>
        <v>248000</v>
      </c>
      <c r="AA339" s="99">
        <f t="shared" si="53"/>
        <v>5002302.4800000004</v>
      </c>
      <c r="AB339" s="99">
        <f>AA339</f>
        <v>5002302.4800000004</v>
      </c>
      <c r="AC339" s="99"/>
      <c r="AD339" s="99"/>
      <c r="AE339" s="101"/>
      <c r="AF339" s="96">
        <v>2022</v>
      </c>
      <c r="AG339" s="96">
        <v>2022</v>
      </c>
    </row>
    <row r="340" spans="1:33" ht="84.9" hidden="1" customHeight="1" x14ac:dyDescent="0.45">
      <c r="A340" s="96">
        <v>320</v>
      </c>
      <c r="B340" s="96" t="s">
        <v>587</v>
      </c>
      <c r="C340" s="96" t="s">
        <v>221</v>
      </c>
      <c r="D340" s="96">
        <v>1969</v>
      </c>
      <c r="E340" s="96">
        <v>5</v>
      </c>
      <c r="F340" s="96">
        <v>6</v>
      </c>
      <c r="G340" s="97">
        <v>3934.6</v>
      </c>
      <c r="H340" s="97">
        <v>3833.5</v>
      </c>
      <c r="I340" s="97">
        <v>3833.5</v>
      </c>
      <c r="J340" s="96">
        <v>193</v>
      </c>
      <c r="K340" s="96" t="s">
        <v>365</v>
      </c>
      <c r="L340" s="96" t="s">
        <v>366</v>
      </c>
      <c r="M340" s="96"/>
      <c r="N340" s="99"/>
      <c r="O340" s="99">
        <v>2377151.2400000002</v>
      </c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>
        <v>124000</v>
      </c>
      <c r="AA340" s="99">
        <f t="shared" si="53"/>
        <v>2501151.2400000002</v>
      </c>
      <c r="AB340" s="99">
        <v>2501151.2400000002</v>
      </c>
      <c r="AC340" s="99"/>
      <c r="AD340" s="99"/>
      <c r="AE340" s="101"/>
      <c r="AF340" s="96">
        <v>2022</v>
      </c>
      <c r="AG340" s="96">
        <v>2022</v>
      </c>
    </row>
    <row r="341" spans="1:33" ht="84.9" hidden="1" customHeight="1" x14ac:dyDescent="0.45">
      <c r="A341" s="96">
        <v>321</v>
      </c>
      <c r="B341" s="96" t="s">
        <v>587</v>
      </c>
      <c r="C341" s="96" t="s">
        <v>222</v>
      </c>
      <c r="D341" s="96">
        <v>1970</v>
      </c>
      <c r="E341" s="96">
        <v>9</v>
      </c>
      <c r="F341" s="96">
        <v>2</v>
      </c>
      <c r="G341" s="97">
        <v>4588</v>
      </c>
      <c r="H341" s="97">
        <v>3848.4</v>
      </c>
      <c r="I341" s="97">
        <v>3848.4</v>
      </c>
      <c r="J341" s="96">
        <v>179</v>
      </c>
      <c r="K341" s="96" t="s">
        <v>365</v>
      </c>
      <c r="L341" s="96" t="s">
        <v>425</v>
      </c>
      <c r="M341" s="96"/>
      <c r="N341" s="99"/>
      <c r="O341" s="99">
        <v>2377151.2400000002</v>
      </c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>
        <v>124000</v>
      </c>
      <c r="AA341" s="99">
        <f t="shared" si="53"/>
        <v>2501151.2400000002</v>
      </c>
      <c r="AB341" s="99">
        <v>2501151.2400000002</v>
      </c>
      <c r="AC341" s="99"/>
      <c r="AD341" s="99"/>
      <c r="AE341" s="101"/>
      <c r="AF341" s="96">
        <v>2022</v>
      </c>
      <c r="AG341" s="96">
        <v>2022</v>
      </c>
    </row>
    <row r="342" spans="1:33" ht="84.9" hidden="1" customHeight="1" x14ac:dyDescent="0.45">
      <c r="A342" s="96">
        <v>322</v>
      </c>
      <c r="B342" s="96" t="s">
        <v>587</v>
      </c>
      <c r="C342" s="96" t="s">
        <v>223</v>
      </c>
      <c r="D342" s="96">
        <v>1970</v>
      </c>
      <c r="E342" s="96">
        <v>5</v>
      </c>
      <c r="F342" s="96">
        <v>6</v>
      </c>
      <c r="G342" s="97">
        <v>3984</v>
      </c>
      <c r="H342" s="97">
        <v>3502.6</v>
      </c>
      <c r="I342" s="97">
        <v>3502.6</v>
      </c>
      <c r="J342" s="96">
        <v>136</v>
      </c>
      <c r="K342" s="96" t="s">
        <v>365</v>
      </c>
      <c r="L342" s="96" t="s">
        <v>366</v>
      </c>
      <c r="M342" s="96"/>
      <c r="N342" s="99"/>
      <c r="O342" s="99">
        <v>2377151.2400000002</v>
      </c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>
        <v>124000</v>
      </c>
      <c r="AA342" s="99">
        <f t="shared" si="53"/>
        <v>2501151.2400000002</v>
      </c>
      <c r="AB342" s="99">
        <v>2501151.2400000002</v>
      </c>
      <c r="AC342" s="99"/>
      <c r="AD342" s="99"/>
      <c r="AE342" s="101"/>
      <c r="AF342" s="96">
        <v>2022</v>
      </c>
      <c r="AG342" s="96">
        <v>2022</v>
      </c>
    </row>
    <row r="343" spans="1:33" ht="84.9" hidden="1" customHeight="1" x14ac:dyDescent="0.45">
      <c r="A343" s="96">
        <v>323</v>
      </c>
      <c r="B343" s="96" t="s">
        <v>587</v>
      </c>
      <c r="C343" s="96" t="s">
        <v>224</v>
      </c>
      <c r="D343" s="96">
        <v>1971</v>
      </c>
      <c r="E343" s="96">
        <v>9</v>
      </c>
      <c r="F343" s="96">
        <v>2</v>
      </c>
      <c r="G343" s="97">
        <v>4403</v>
      </c>
      <c r="H343" s="97">
        <v>4404.5</v>
      </c>
      <c r="I343" s="97">
        <v>3887.4</v>
      </c>
      <c r="J343" s="96">
        <v>153</v>
      </c>
      <c r="K343" s="96" t="s">
        <v>365</v>
      </c>
      <c r="L343" s="96" t="s">
        <v>366</v>
      </c>
      <c r="M343" s="96"/>
      <c r="N343" s="99"/>
      <c r="O343" s="99">
        <v>2377151.2400000002</v>
      </c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>
        <v>124000</v>
      </c>
      <c r="AA343" s="99">
        <f t="shared" si="53"/>
        <v>2501151.2400000002</v>
      </c>
      <c r="AB343" s="99">
        <v>2501151.2400000002</v>
      </c>
      <c r="AC343" s="99"/>
      <c r="AD343" s="99"/>
      <c r="AE343" s="101"/>
      <c r="AF343" s="96">
        <v>2022</v>
      </c>
      <c r="AG343" s="96">
        <v>2022</v>
      </c>
    </row>
    <row r="344" spans="1:33" ht="84.9" hidden="1" customHeight="1" x14ac:dyDescent="0.45">
      <c r="A344" s="96">
        <v>324</v>
      </c>
      <c r="B344" s="96" t="s">
        <v>587</v>
      </c>
      <c r="C344" s="96" t="s">
        <v>225</v>
      </c>
      <c r="D344" s="96">
        <v>1970</v>
      </c>
      <c r="E344" s="96">
        <v>9</v>
      </c>
      <c r="F344" s="96">
        <v>2</v>
      </c>
      <c r="G344" s="97">
        <v>4553</v>
      </c>
      <c r="H344" s="97">
        <v>3903.2</v>
      </c>
      <c r="I344" s="97">
        <v>3828.4</v>
      </c>
      <c r="J344" s="96">
        <v>157</v>
      </c>
      <c r="K344" s="96" t="s">
        <v>365</v>
      </c>
      <c r="L344" s="96" t="s">
        <v>366</v>
      </c>
      <c r="M344" s="96"/>
      <c r="N344" s="99"/>
      <c r="O344" s="99">
        <v>2377151.2400000002</v>
      </c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>
        <v>124000</v>
      </c>
      <c r="AA344" s="99">
        <f t="shared" si="53"/>
        <v>2501151.2400000002</v>
      </c>
      <c r="AB344" s="99">
        <v>2501151.2400000002</v>
      </c>
      <c r="AC344" s="99"/>
      <c r="AD344" s="99"/>
      <c r="AE344" s="101"/>
      <c r="AF344" s="96">
        <v>2022</v>
      </c>
      <c r="AG344" s="96">
        <v>2022</v>
      </c>
    </row>
    <row r="345" spans="1:33" ht="84.9" hidden="1" customHeight="1" x14ac:dyDescent="0.45">
      <c r="A345" s="96">
        <v>325</v>
      </c>
      <c r="B345" s="96" t="s">
        <v>587</v>
      </c>
      <c r="C345" s="96" t="s">
        <v>226</v>
      </c>
      <c r="D345" s="96">
        <v>1969</v>
      </c>
      <c r="E345" s="96">
        <v>5</v>
      </c>
      <c r="F345" s="96">
        <v>4</v>
      </c>
      <c r="G345" s="97">
        <v>2629.1</v>
      </c>
      <c r="H345" s="97">
        <v>2622.3</v>
      </c>
      <c r="I345" s="97">
        <v>2189.1999999999998</v>
      </c>
      <c r="J345" s="96">
        <v>110</v>
      </c>
      <c r="K345" s="96" t="s">
        <v>365</v>
      </c>
      <c r="L345" s="96" t="s">
        <v>366</v>
      </c>
      <c r="M345" s="96"/>
      <c r="N345" s="99"/>
      <c r="O345" s="99">
        <v>2377151.2400000002</v>
      </c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>
        <v>124000</v>
      </c>
      <c r="AA345" s="99">
        <f t="shared" si="53"/>
        <v>2501151.2400000002</v>
      </c>
      <c r="AB345" s="99">
        <v>2501151.2400000002</v>
      </c>
      <c r="AC345" s="99"/>
      <c r="AD345" s="99"/>
      <c r="AE345" s="101"/>
      <c r="AF345" s="96">
        <v>2022</v>
      </c>
      <c r="AG345" s="96">
        <v>2022</v>
      </c>
    </row>
    <row r="346" spans="1:33" ht="84.9" hidden="1" customHeight="1" x14ac:dyDescent="0.45">
      <c r="A346" s="96">
        <v>326</v>
      </c>
      <c r="B346" s="96" t="s">
        <v>587</v>
      </c>
      <c r="C346" s="96" t="s">
        <v>227</v>
      </c>
      <c r="D346" s="96">
        <v>1969</v>
      </c>
      <c r="E346" s="96">
        <v>5</v>
      </c>
      <c r="F346" s="96">
        <v>4</v>
      </c>
      <c r="G346" s="97">
        <v>2657</v>
      </c>
      <c r="H346" s="97">
        <v>2627.1</v>
      </c>
      <c r="I346" s="97">
        <v>2627.1</v>
      </c>
      <c r="J346" s="96">
        <v>100</v>
      </c>
      <c r="K346" s="96" t="s">
        <v>365</v>
      </c>
      <c r="L346" s="96" t="s">
        <v>366</v>
      </c>
      <c r="M346" s="96"/>
      <c r="N346" s="99"/>
      <c r="O346" s="99">
        <v>2377151.2400000002</v>
      </c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>
        <v>124000</v>
      </c>
      <c r="AA346" s="99">
        <f t="shared" si="53"/>
        <v>2501151.2400000002</v>
      </c>
      <c r="AB346" s="99">
        <v>2501151.2400000002</v>
      </c>
      <c r="AC346" s="99"/>
      <c r="AD346" s="99"/>
      <c r="AE346" s="101"/>
      <c r="AF346" s="96">
        <v>2022</v>
      </c>
      <c r="AG346" s="96">
        <v>2022</v>
      </c>
    </row>
    <row r="347" spans="1:33" ht="84.9" hidden="1" customHeight="1" x14ac:dyDescent="0.45">
      <c r="A347" s="96">
        <v>327</v>
      </c>
      <c r="B347" s="96" t="s">
        <v>587</v>
      </c>
      <c r="C347" s="96" t="s">
        <v>228</v>
      </c>
      <c r="D347" s="96">
        <v>1970</v>
      </c>
      <c r="E347" s="96">
        <v>9</v>
      </c>
      <c r="F347" s="96">
        <v>2</v>
      </c>
      <c r="G347" s="97">
        <v>3850.4</v>
      </c>
      <c r="H347" s="97">
        <v>3866.6</v>
      </c>
      <c r="I347" s="97">
        <v>3849.3</v>
      </c>
      <c r="J347" s="96">
        <v>152</v>
      </c>
      <c r="K347" s="96" t="s">
        <v>365</v>
      </c>
      <c r="L347" s="96" t="s">
        <v>366</v>
      </c>
      <c r="M347" s="96"/>
      <c r="N347" s="99"/>
      <c r="O347" s="99">
        <v>2377151.2400000002</v>
      </c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>
        <v>124000</v>
      </c>
      <c r="AA347" s="99">
        <f t="shared" si="53"/>
        <v>2501151.2400000002</v>
      </c>
      <c r="AB347" s="99">
        <v>2501151.2400000002</v>
      </c>
      <c r="AC347" s="99"/>
      <c r="AD347" s="99"/>
      <c r="AE347" s="101"/>
      <c r="AF347" s="96">
        <v>2022</v>
      </c>
      <c r="AG347" s="96">
        <v>2022</v>
      </c>
    </row>
    <row r="348" spans="1:33" ht="84.9" hidden="1" customHeight="1" x14ac:dyDescent="0.45">
      <c r="A348" s="96">
        <v>328</v>
      </c>
      <c r="B348" s="96" t="s">
        <v>587</v>
      </c>
      <c r="C348" s="96" t="s">
        <v>229</v>
      </c>
      <c r="D348" s="96">
        <v>1970</v>
      </c>
      <c r="E348" s="96">
        <v>9</v>
      </c>
      <c r="F348" s="96">
        <v>2</v>
      </c>
      <c r="G348" s="97" t="s">
        <v>426</v>
      </c>
      <c r="H348" s="97">
        <v>3911.3</v>
      </c>
      <c r="I348" s="97">
        <v>3675</v>
      </c>
      <c r="J348" s="96">
        <v>151</v>
      </c>
      <c r="K348" s="96" t="s">
        <v>365</v>
      </c>
      <c r="L348" s="96" t="s">
        <v>366</v>
      </c>
      <c r="M348" s="96"/>
      <c r="N348" s="99"/>
      <c r="O348" s="99">
        <v>2377151.2400000002</v>
      </c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>
        <v>124000</v>
      </c>
      <c r="AA348" s="99">
        <f t="shared" si="53"/>
        <v>2501151.2400000002</v>
      </c>
      <c r="AB348" s="99">
        <v>2501151.2400000002</v>
      </c>
      <c r="AC348" s="99"/>
      <c r="AD348" s="99"/>
      <c r="AE348" s="101"/>
      <c r="AF348" s="96">
        <v>2022</v>
      </c>
      <c r="AG348" s="96">
        <v>2022</v>
      </c>
    </row>
    <row r="349" spans="1:33" ht="84.9" hidden="1" customHeight="1" x14ac:dyDescent="0.45">
      <c r="A349" s="96">
        <v>329</v>
      </c>
      <c r="B349" s="96" t="s">
        <v>587</v>
      </c>
      <c r="C349" s="96" t="s">
        <v>230</v>
      </c>
      <c r="D349" s="96" t="s">
        <v>392</v>
      </c>
      <c r="E349" s="96">
        <v>9</v>
      </c>
      <c r="F349" s="96">
        <v>2</v>
      </c>
      <c r="G349" s="97">
        <v>3852.4</v>
      </c>
      <c r="H349" s="97">
        <v>3852.2</v>
      </c>
      <c r="I349" s="97">
        <v>3835</v>
      </c>
      <c r="J349" s="103" t="s">
        <v>427</v>
      </c>
      <c r="K349" s="103" t="s">
        <v>365</v>
      </c>
      <c r="L349" s="96" t="s">
        <v>366</v>
      </c>
      <c r="M349" s="96"/>
      <c r="N349" s="99"/>
      <c r="O349" s="99">
        <v>2377151.2400000002</v>
      </c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>
        <v>124000</v>
      </c>
      <c r="AA349" s="99">
        <f t="shared" si="53"/>
        <v>2501151.2400000002</v>
      </c>
      <c r="AB349" s="99">
        <v>2501151.2400000002</v>
      </c>
      <c r="AC349" s="99"/>
      <c r="AD349" s="99"/>
      <c r="AE349" s="101"/>
      <c r="AF349" s="96">
        <v>2022</v>
      </c>
      <c r="AG349" s="96">
        <v>2022</v>
      </c>
    </row>
    <row r="350" spans="1:33" ht="84.9" hidden="1" customHeight="1" x14ac:dyDescent="0.45">
      <c r="A350" s="96">
        <v>330</v>
      </c>
      <c r="B350" s="96" t="s">
        <v>587</v>
      </c>
      <c r="C350" s="96" t="s">
        <v>231</v>
      </c>
      <c r="D350" s="96" t="s">
        <v>392</v>
      </c>
      <c r="E350" s="96">
        <v>9</v>
      </c>
      <c r="F350" s="96">
        <v>4</v>
      </c>
      <c r="G350" s="97">
        <v>7761.5</v>
      </c>
      <c r="H350" s="97">
        <v>7756.3</v>
      </c>
      <c r="I350" s="97">
        <v>7603.2</v>
      </c>
      <c r="J350" s="96" t="s">
        <v>428</v>
      </c>
      <c r="K350" s="96" t="s">
        <v>365</v>
      </c>
      <c r="L350" s="96" t="s">
        <v>366</v>
      </c>
      <c r="M350" s="96"/>
      <c r="N350" s="99"/>
      <c r="O350" s="99">
        <v>4754302.4800000004</v>
      </c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>
        <v>248000</v>
      </c>
      <c r="AA350" s="99">
        <f t="shared" si="53"/>
        <v>5002302.4800000004</v>
      </c>
      <c r="AB350" s="99">
        <f>AA350</f>
        <v>5002302.4800000004</v>
      </c>
      <c r="AC350" s="99"/>
      <c r="AD350" s="99"/>
      <c r="AE350" s="101"/>
      <c r="AF350" s="96">
        <v>2022</v>
      </c>
      <c r="AG350" s="96">
        <v>2022</v>
      </c>
    </row>
    <row r="351" spans="1:33" ht="84.9" hidden="1" customHeight="1" x14ac:dyDescent="0.45">
      <c r="A351" s="96">
        <v>331</v>
      </c>
      <c r="B351" s="96" t="s">
        <v>587</v>
      </c>
      <c r="C351" s="96" t="s">
        <v>232</v>
      </c>
      <c r="D351" s="96" t="s">
        <v>392</v>
      </c>
      <c r="E351" s="96">
        <v>9</v>
      </c>
      <c r="F351" s="96">
        <v>6</v>
      </c>
      <c r="G351" s="97">
        <v>11288.3</v>
      </c>
      <c r="H351" s="97">
        <v>11185</v>
      </c>
      <c r="I351" s="97">
        <v>11185</v>
      </c>
      <c r="J351" s="96" t="s">
        <v>429</v>
      </c>
      <c r="K351" s="96" t="s">
        <v>365</v>
      </c>
      <c r="L351" s="96" t="s">
        <v>366</v>
      </c>
      <c r="M351" s="96"/>
      <c r="N351" s="99"/>
      <c r="O351" s="99">
        <v>7131453.7199999997</v>
      </c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>
        <v>372000</v>
      </c>
      <c r="AA351" s="99">
        <f t="shared" si="53"/>
        <v>7503453.7199999997</v>
      </c>
      <c r="AB351" s="99">
        <f>AA351</f>
        <v>7503453.7199999997</v>
      </c>
      <c r="AC351" s="99"/>
      <c r="AD351" s="99"/>
      <c r="AE351" s="101"/>
      <c r="AF351" s="96">
        <v>2022</v>
      </c>
      <c r="AG351" s="96">
        <v>2022</v>
      </c>
    </row>
    <row r="352" spans="1:33" ht="84.9" hidden="1" customHeight="1" x14ac:dyDescent="0.45">
      <c r="A352" s="96">
        <v>332</v>
      </c>
      <c r="B352" s="96" t="s">
        <v>587</v>
      </c>
      <c r="C352" s="96" t="s">
        <v>430</v>
      </c>
      <c r="D352" s="96">
        <v>1972</v>
      </c>
      <c r="E352" s="96">
        <v>5</v>
      </c>
      <c r="F352" s="96">
        <v>7</v>
      </c>
      <c r="G352" s="102">
        <v>6351.5</v>
      </c>
      <c r="H352" s="97">
        <v>5853.6</v>
      </c>
      <c r="I352" s="97">
        <v>5912.3</v>
      </c>
      <c r="J352" s="96">
        <v>266</v>
      </c>
      <c r="K352" s="96" t="s">
        <v>365</v>
      </c>
      <c r="L352" s="96" t="s">
        <v>366</v>
      </c>
      <c r="M352" s="96"/>
      <c r="N352" s="99"/>
      <c r="O352" s="99"/>
      <c r="P352" s="99"/>
      <c r="Q352" s="99"/>
      <c r="R352" s="99"/>
      <c r="S352" s="99"/>
      <c r="T352" s="99"/>
      <c r="U352" s="99"/>
      <c r="V352" s="99">
        <f>ROUND(H352*3517.3*1.015,2)</f>
        <v>20897700.289999999</v>
      </c>
      <c r="W352" s="99"/>
      <c r="X352" s="99"/>
      <c r="Y352" s="99"/>
      <c r="Z352" s="99">
        <v>741812.5</v>
      </c>
      <c r="AA352" s="99">
        <f>SUM(V352+Z352)</f>
        <v>21639512.789999999</v>
      </c>
      <c r="AB352" s="99"/>
      <c r="AC352" s="99"/>
      <c r="AD352" s="99">
        <f>SUM(V352+Z352)</f>
        <v>21639512.789999999</v>
      </c>
      <c r="AE352" s="101"/>
      <c r="AF352" s="96">
        <v>2022</v>
      </c>
      <c r="AG352" s="96">
        <v>2022</v>
      </c>
    </row>
    <row r="353" spans="1:33" ht="84.9" hidden="1" customHeight="1" x14ac:dyDescent="0.45">
      <c r="A353" s="96">
        <v>333</v>
      </c>
      <c r="B353" s="96" t="s">
        <v>587</v>
      </c>
      <c r="C353" s="96" t="s">
        <v>431</v>
      </c>
      <c r="D353" s="96">
        <v>1971</v>
      </c>
      <c r="E353" s="96">
        <v>5</v>
      </c>
      <c r="F353" s="96">
        <v>4</v>
      </c>
      <c r="G353" s="102">
        <v>2728.4</v>
      </c>
      <c r="H353" s="97">
        <v>2698.2</v>
      </c>
      <c r="I353" s="97">
        <v>2698</v>
      </c>
      <c r="J353" s="96">
        <v>120</v>
      </c>
      <c r="K353" s="96" t="s">
        <v>365</v>
      </c>
      <c r="L353" s="96" t="s">
        <v>366</v>
      </c>
      <c r="M353" s="96"/>
      <c r="N353" s="99"/>
      <c r="O353" s="99"/>
      <c r="P353" s="99"/>
      <c r="Q353" s="99"/>
      <c r="R353" s="99"/>
      <c r="S353" s="99"/>
      <c r="T353" s="99"/>
      <c r="U353" s="99"/>
      <c r="V353" s="99">
        <f>ROUND(H353*3517.3*1.015,2)</f>
        <v>9632734.5399999991</v>
      </c>
      <c r="W353" s="99"/>
      <c r="X353" s="99"/>
      <c r="Y353" s="99"/>
      <c r="Z353" s="99">
        <v>670285.1</v>
      </c>
      <c r="AA353" s="99">
        <f>SUM(V353+Z353)</f>
        <v>10303019.639999999</v>
      </c>
      <c r="AB353" s="99"/>
      <c r="AC353" s="99"/>
      <c r="AD353" s="99">
        <f>SUM(V353+Z353)</f>
        <v>10303019.639999999</v>
      </c>
      <c r="AE353" s="101"/>
      <c r="AF353" s="96">
        <v>2022</v>
      </c>
      <c r="AG353" s="96">
        <v>2023</v>
      </c>
    </row>
    <row r="354" spans="1:33" ht="84.9" hidden="1" customHeight="1" x14ac:dyDescent="0.45">
      <c r="A354" s="96">
        <v>334</v>
      </c>
      <c r="B354" s="96" t="s">
        <v>587</v>
      </c>
      <c r="C354" s="96" t="s">
        <v>233</v>
      </c>
      <c r="D354" s="96">
        <v>1980</v>
      </c>
      <c r="E354" s="96">
        <v>9</v>
      </c>
      <c r="F354" s="96">
        <v>1</v>
      </c>
      <c r="G354" s="97">
        <v>4452</v>
      </c>
      <c r="H354" s="97">
        <v>4452</v>
      </c>
      <c r="I354" s="97">
        <v>4452</v>
      </c>
      <c r="J354" s="96">
        <v>75</v>
      </c>
      <c r="K354" s="96"/>
      <c r="L354" s="96" t="s">
        <v>366</v>
      </c>
      <c r="M354" s="96"/>
      <c r="N354" s="99"/>
      <c r="O354" s="99"/>
      <c r="P354" s="99"/>
      <c r="Q354" s="99"/>
      <c r="R354" s="99"/>
      <c r="S354" s="99"/>
      <c r="T354" s="99"/>
      <c r="U354" s="99">
        <v>1851415.78</v>
      </c>
      <c r="V354" s="99"/>
      <c r="W354" s="99"/>
      <c r="X354" s="99"/>
      <c r="Y354" s="99"/>
      <c r="Z354" s="99">
        <v>75945.039999999994</v>
      </c>
      <c r="AA354" s="99">
        <f t="shared" ref="AA354:AA367" si="54">SUM(U354+Z354)</f>
        <v>1927360.82</v>
      </c>
      <c r="AB354" s="99"/>
      <c r="AC354" s="99"/>
      <c r="AD354" s="99">
        <f t="shared" ref="AD354:AD367" si="55">AA354</f>
        <v>1927360.82</v>
      </c>
      <c r="AE354" s="101"/>
      <c r="AF354" s="96">
        <v>2022</v>
      </c>
      <c r="AG354" s="96">
        <v>2022</v>
      </c>
    </row>
    <row r="355" spans="1:33" ht="84.9" hidden="1" customHeight="1" x14ac:dyDescent="0.45">
      <c r="A355" s="96">
        <v>335</v>
      </c>
      <c r="B355" s="96" t="s">
        <v>587</v>
      </c>
      <c r="C355" s="96" t="s">
        <v>234</v>
      </c>
      <c r="D355" s="96">
        <v>1980</v>
      </c>
      <c r="E355" s="96">
        <v>9</v>
      </c>
      <c r="F355" s="96">
        <v>2</v>
      </c>
      <c r="G355" s="97">
        <v>4417.28</v>
      </c>
      <c r="H355" s="97">
        <v>4417.28</v>
      </c>
      <c r="I355" s="97">
        <v>4417.28</v>
      </c>
      <c r="J355" s="96">
        <v>165</v>
      </c>
      <c r="K355" s="96" t="s">
        <v>365</v>
      </c>
      <c r="L355" s="96" t="s">
        <v>366</v>
      </c>
      <c r="M355" s="96"/>
      <c r="N355" s="99"/>
      <c r="O355" s="99"/>
      <c r="P355" s="99"/>
      <c r="Q355" s="99"/>
      <c r="R355" s="99"/>
      <c r="S355" s="99"/>
      <c r="T355" s="99"/>
      <c r="U355" s="99">
        <v>3702831.57</v>
      </c>
      <c r="V355" s="99"/>
      <c r="W355" s="99"/>
      <c r="X355" s="99"/>
      <c r="Y355" s="99"/>
      <c r="Z355" s="99">
        <v>151890.07999999999</v>
      </c>
      <c r="AA355" s="99">
        <f t="shared" si="54"/>
        <v>3854721.65</v>
      </c>
      <c r="AB355" s="99"/>
      <c r="AC355" s="99"/>
      <c r="AD355" s="99">
        <f t="shared" si="55"/>
        <v>3854721.65</v>
      </c>
      <c r="AE355" s="101"/>
      <c r="AF355" s="96">
        <v>2022</v>
      </c>
      <c r="AG355" s="96">
        <v>2022</v>
      </c>
    </row>
    <row r="356" spans="1:33" ht="84.9" hidden="1" customHeight="1" x14ac:dyDescent="0.45">
      <c r="A356" s="96">
        <v>336</v>
      </c>
      <c r="B356" s="96" t="s">
        <v>587</v>
      </c>
      <c r="C356" s="96" t="s">
        <v>235</v>
      </c>
      <c r="D356" s="96">
        <v>1980</v>
      </c>
      <c r="E356" s="96">
        <v>9</v>
      </c>
      <c r="F356" s="96">
        <v>4</v>
      </c>
      <c r="G356" s="97">
        <v>8704.7999999999993</v>
      </c>
      <c r="H356" s="97">
        <v>8704.7999999999993</v>
      </c>
      <c r="I356" s="97">
        <v>8704.7999999999993</v>
      </c>
      <c r="J356" s="96">
        <v>338</v>
      </c>
      <c r="K356" s="96" t="s">
        <v>365</v>
      </c>
      <c r="L356" s="96" t="s">
        <v>366</v>
      </c>
      <c r="M356" s="96"/>
      <c r="N356" s="99"/>
      <c r="O356" s="99"/>
      <c r="P356" s="99"/>
      <c r="Q356" s="99"/>
      <c r="R356" s="99"/>
      <c r="S356" s="99"/>
      <c r="T356" s="99"/>
      <c r="U356" s="99">
        <v>7405663.1399999997</v>
      </c>
      <c r="V356" s="99"/>
      <c r="W356" s="99"/>
      <c r="X356" s="99"/>
      <c r="Y356" s="99"/>
      <c r="Z356" s="99">
        <v>303780.15999999997</v>
      </c>
      <c r="AA356" s="99">
        <f t="shared" si="54"/>
        <v>7709443.2999999998</v>
      </c>
      <c r="AB356" s="99"/>
      <c r="AC356" s="99"/>
      <c r="AD356" s="99">
        <f t="shared" si="55"/>
        <v>7709443.2999999998</v>
      </c>
      <c r="AE356" s="101"/>
      <c r="AF356" s="96">
        <v>2022</v>
      </c>
      <c r="AG356" s="96">
        <v>2022</v>
      </c>
    </row>
    <row r="357" spans="1:33" ht="84.9" hidden="1" customHeight="1" x14ac:dyDescent="0.45">
      <c r="A357" s="96">
        <v>337</v>
      </c>
      <c r="B357" s="96" t="s">
        <v>587</v>
      </c>
      <c r="C357" s="96" t="s">
        <v>236</v>
      </c>
      <c r="D357" s="96">
        <v>1980</v>
      </c>
      <c r="E357" s="96">
        <v>9</v>
      </c>
      <c r="F357" s="96">
        <v>1</v>
      </c>
      <c r="G357" s="97">
        <v>3008.62</v>
      </c>
      <c r="H357" s="97">
        <v>3008.62</v>
      </c>
      <c r="I357" s="97">
        <v>3008.62</v>
      </c>
      <c r="J357" s="96">
        <v>165</v>
      </c>
      <c r="K357" s="96" t="s">
        <v>365</v>
      </c>
      <c r="L357" s="96" t="s">
        <v>366</v>
      </c>
      <c r="M357" s="96"/>
      <c r="N357" s="99"/>
      <c r="O357" s="99"/>
      <c r="P357" s="99"/>
      <c r="Q357" s="99"/>
      <c r="R357" s="99"/>
      <c r="S357" s="99"/>
      <c r="T357" s="99"/>
      <c r="U357" s="99">
        <v>1851415.78</v>
      </c>
      <c r="V357" s="99"/>
      <c r="W357" s="99"/>
      <c r="X357" s="99"/>
      <c r="Y357" s="99"/>
      <c r="Z357" s="99">
        <v>75945.039999999994</v>
      </c>
      <c r="AA357" s="99">
        <f t="shared" si="54"/>
        <v>1927360.82</v>
      </c>
      <c r="AB357" s="99"/>
      <c r="AC357" s="99"/>
      <c r="AD357" s="99">
        <f t="shared" si="55"/>
        <v>1927360.82</v>
      </c>
      <c r="AE357" s="101"/>
      <c r="AF357" s="96">
        <v>2022</v>
      </c>
      <c r="AG357" s="96">
        <v>2022</v>
      </c>
    </row>
    <row r="358" spans="1:33" ht="84.9" hidden="1" customHeight="1" x14ac:dyDescent="0.45">
      <c r="A358" s="96">
        <v>338</v>
      </c>
      <c r="B358" s="96" t="s">
        <v>587</v>
      </c>
      <c r="C358" s="96" t="s">
        <v>237</v>
      </c>
      <c r="D358" s="96">
        <v>1980</v>
      </c>
      <c r="E358" s="96">
        <v>9</v>
      </c>
      <c r="F358" s="96">
        <v>1</v>
      </c>
      <c r="G358" s="97">
        <v>2985.6</v>
      </c>
      <c r="H358" s="97">
        <v>2985.6</v>
      </c>
      <c r="I358" s="97">
        <v>2985.6</v>
      </c>
      <c r="J358" s="96">
        <v>160</v>
      </c>
      <c r="K358" s="96" t="s">
        <v>365</v>
      </c>
      <c r="L358" s="96" t="s">
        <v>366</v>
      </c>
      <c r="M358" s="96"/>
      <c r="N358" s="99"/>
      <c r="O358" s="99"/>
      <c r="P358" s="99"/>
      <c r="Q358" s="99"/>
      <c r="R358" s="99"/>
      <c r="S358" s="99"/>
      <c r="T358" s="99"/>
      <c r="U358" s="99">
        <v>1851415.78</v>
      </c>
      <c r="V358" s="99"/>
      <c r="W358" s="99"/>
      <c r="X358" s="99"/>
      <c r="Y358" s="99"/>
      <c r="Z358" s="99">
        <v>75945.039999999994</v>
      </c>
      <c r="AA358" s="99">
        <f t="shared" si="54"/>
        <v>1927360.82</v>
      </c>
      <c r="AB358" s="99"/>
      <c r="AC358" s="99"/>
      <c r="AD358" s="99">
        <f t="shared" si="55"/>
        <v>1927360.82</v>
      </c>
      <c r="AE358" s="101"/>
      <c r="AF358" s="96">
        <v>2022</v>
      </c>
      <c r="AG358" s="96">
        <v>2022</v>
      </c>
    </row>
    <row r="359" spans="1:33" ht="84.9" hidden="1" customHeight="1" x14ac:dyDescent="0.45">
      <c r="A359" s="96">
        <v>339</v>
      </c>
      <c r="B359" s="96" t="s">
        <v>587</v>
      </c>
      <c r="C359" s="96" t="s">
        <v>238</v>
      </c>
      <c r="D359" s="96">
        <v>1980</v>
      </c>
      <c r="E359" s="96">
        <v>9</v>
      </c>
      <c r="F359" s="96">
        <v>2</v>
      </c>
      <c r="G359" s="97">
        <v>4464.79</v>
      </c>
      <c r="H359" s="97">
        <v>4464.79</v>
      </c>
      <c r="I359" s="97">
        <v>4464.79</v>
      </c>
      <c r="J359" s="96">
        <v>166</v>
      </c>
      <c r="K359" s="96" t="s">
        <v>365</v>
      </c>
      <c r="L359" s="96" t="s">
        <v>366</v>
      </c>
      <c r="M359" s="96"/>
      <c r="N359" s="99"/>
      <c r="O359" s="99"/>
      <c r="P359" s="99"/>
      <c r="Q359" s="99"/>
      <c r="R359" s="99"/>
      <c r="S359" s="99"/>
      <c r="T359" s="99"/>
      <c r="U359" s="99">
        <v>3702831.57</v>
      </c>
      <c r="V359" s="99"/>
      <c r="W359" s="99"/>
      <c r="X359" s="99"/>
      <c r="Y359" s="99"/>
      <c r="Z359" s="99">
        <v>151890.07999999999</v>
      </c>
      <c r="AA359" s="99">
        <f t="shared" si="54"/>
        <v>3854721.65</v>
      </c>
      <c r="AB359" s="99"/>
      <c r="AC359" s="99"/>
      <c r="AD359" s="99">
        <f t="shared" si="55"/>
        <v>3854721.65</v>
      </c>
      <c r="AE359" s="101"/>
      <c r="AF359" s="96">
        <v>2022</v>
      </c>
      <c r="AG359" s="96">
        <v>2022</v>
      </c>
    </row>
    <row r="360" spans="1:33" ht="84.9" hidden="1" customHeight="1" x14ac:dyDescent="0.45">
      <c r="A360" s="96">
        <v>340</v>
      </c>
      <c r="B360" s="96" t="s">
        <v>587</v>
      </c>
      <c r="C360" s="96" t="s">
        <v>239</v>
      </c>
      <c r="D360" s="96">
        <v>1980</v>
      </c>
      <c r="E360" s="96">
        <v>9</v>
      </c>
      <c r="F360" s="96">
        <v>1</v>
      </c>
      <c r="G360" s="97">
        <v>2670.6</v>
      </c>
      <c r="H360" s="97">
        <v>2670.6</v>
      </c>
      <c r="I360" s="97">
        <v>2670.6</v>
      </c>
      <c r="J360" s="96">
        <v>105</v>
      </c>
      <c r="K360" s="96" t="s">
        <v>365</v>
      </c>
      <c r="L360" s="96" t="s">
        <v>366</v>
      </c>
      <c r="M360" s="96"/>
      <c r="N360" s="99"/>
      <c r="O360" s="99"/>
      <c r="P360" s="99"/>
      <c r="Q360" s="99"/>
      <c r="R360" s="99"/>
      <c r="S360" s="99"/>
      <c r="T360" s="99"/>
      <c r="U360" s="99">
        <v>1851415.78</v>
      </c>
      <c r="V360" s="99"/>
      <c r="W360" s="99"/>
      <c r="X360" s="99"/>
      <c r="Y360" s="99"/>
      <c r="Z360" s="99">
        <v>75945.039999999994</v>
      </c>
      <c r="AA360" s="99">
        <f t="shared" si="54"/>
        <v>1927360.82</v>
      </c>
      <c r="AB360" s="99"/>
      <c r="AC360" s="99"/>
      <c r="AD360" s="99">
        <f t="shared" si="55"/>
        <v>1927360.82</v>
      </c>
      <c r="AE360" s="101"/>
      <c r="AF360" s="96">
        <v>2022</v>
      </c>
      <c r="AG360" s="96">
        <v>2022</v>
      </c>
    </row>
    <row r="361" spans="1:33" ht="84.9" hidden="1" customHeight="1" x14ac:dyDescent="0.45">
      <c r="A361" s="96">
        <v>341</v>
      </c>
      <c r="B361" s="96" t="s">
        <v>587</v>
      </c>
      <c r="C361" s="96" t="s">
        <v>240</v>
      </c>
      <c r="D361" s="96">
        <v>1980</v>
      </c>
      <c r="E361" s="96">
        <v>9</v>
      </c>
      <c r="F361" s="96">
        <v>1</v>
      </c>
      <c r="G361" s="97">
        <v>2665.04</v>
      </c>
      <c r="H361" s="97">
        <v>2665.04</v>
      </c>
      <c r="I361" s="97">
        <v>2665.04</v>
      </c>
      <c r="J361" s="96">
        <v>103</v>
      </c>
      <c r="K361" s="96" t="s">
        <v>365</v>
      </c>
      <c r="L361" s="96" t="s">
        <v>366</v>
      </c>
      <c r="M361" s="96"/>
      <c r="N361" s="99"/>
      <c r="O361" s="99"/>
      <c r="P361" s="99"/>
      <c r="Q361" s="99"/>
      <c r="R361" s="99"/>
      <c r="S361" s="99"/>
      <c r="T361" s="99"/>
      <c r="U361" s="99">
        <v>1851415.78</v>
      </c>
      <c r="V361" s="99"/>
      <c r="W361" s="99"/>
      <c r="X361" s="99"/>
      <c r="Y361" s="99"/>
      <c r="Z361" s="99">
        <v>75945.039999999994</v>
      </c>
      <c r="AA361" s="99">
        <f t="shared" si="54"/>
        <v>1927360.82</v>
      </c>
      <c r="AB361" s="99"/>
      <c r="AC361" s="99"/>
      <c r="AD361" s="99">
        <f t="shared" si="55"/>
        <v>1927360.82</v>
      </c>
      <c r="AE361" s="101"/>
      <c r="AF361" s="96">
        <v>2022</v>
      </c>
      <c r="AG361" s="96">
        <v>2022</v>
      </c>
    </row>
    <row r="362" spans="1:33" ht="84.9" hidden="1" customHeight="1" x14ac:dyDescent="0.45">
      <c r="A362" s="96">
        <v>342</v>
      </c>
      <c r="B362" s="96" t="s">
        <v>587</v>
      </c>
      <c r="C362" s="96" t="s">
        <v>241</v>
      </c>
      <c r="D362" s="96">
        <v>1980</v>
      </c>
      <c r="E362" s="96">
        <v>9</v>
      </c>
      <c r="F362" s="96">
        <v>2</v>
      </c>
      <c r="G362" s="97">
        <v>4413.8</v>
      </c>
      <c r="H362" s="97">
        <v>4413.8</v>
      </c>
      <c r="I362" s="97">
        <v>4413.8</v>
      </c>
      <c r="J362" s="96">
        <v>175</v>
      </c>
      <c r="K362" s="96" t="s">
        <v>365</v>
      </c>
      <c r="L362" s="96" t="s">
        <v>366</v>
      </c>
      <c r="M362" s="96"/>
      <c r="N362" s="99"/>
      <c r="O362" s="99"/>
      <c r="P362" s="99"/>
      <c r="Q362" s="99"/>
      <c r="R362" s="99"/>
      <c r="S362" s="99"/>
      <c r="T362" s="99"/>
      <c r="U362" s="99">
        <v>3702831.57</v>
      </c>
      <c r="V362" s="99"/>
      <c r="W362" s="99"/>
      <c r="X362" s="99"/>
      <c r="Y362" s="99"/>
      <c r="Z362" s="99">
        <v>151890.07999999999</v>
      </c>
      <c r="AA362" s="99">
        <f t="shared" si="54"/>
        <v>3854721.65</v>
      </c>
      <c r="AB362" s="99"/>
      <c r="AC362" s="99"/>
      <c r="AD362" s="99">
        <f t="shared" si="55"/>
        <v>3854721.65</v>
      </c>
      <c r="AE362" s="101"/>
      <c r="AF362" s="96">
        <v>2022</v>
      </c>
      <c r="AG362" s="96">
        <v>2022</v>
      </c>
    </row>
    <row r="363" spans="1:33" ht="84.9" hidden="1" customHeight="1" x14ac:dyDescent="0.45">
      <c r="A363" s="96">
        <v>343</v>
      </c>
      <c r="B363" s="96" t="s">
        <v>587</v>
      </c>
      <c r="C363" s="96" t="s">
        <v>242</v>
      </c>
      <c r="D363" s="96">
        <v>1980</v>
      </c>
      <c r="E363" s="96">
        <v>9</v>
      </c>
      <c r="F363" s="96">
        <v>4</v>
      </c>
      <c r="G363" s="97">
        <v>8621</v>
      </c>
      <c r="H363" s="97">
        <v>8621</v>
      </c>
      <c r="I363" s="97">
        <v>8621</v>
      </c>
      <c r="J363" s="96">
        <v>335</v>
      </c>
      <c r="K363" s="96" t="s">
        <v>365</v>
      </c>
      <c r="L363" s="96" t="s">
        <v>366</v>
      </c>
      <c r="M363" s="96"/>
      <c r="N363" s="99"/>
      <c r="O363" s="99"/>
      <c r="P363" s="99"/>
      <c r="Q363" s="99"/>
      <c r="R363" s="99"/>
      <c r="S363" s="99"/>
      <c r="T363" s="99"/>
      <c r="U363" s="99">
        <v>7405663.1399999997</v>
      </c>
      <c r="V363" s="99"/>
      <c r="W363" s="99"/>
      <c r="X363" s="99"/>
      <c r="Y363" s="99"/>
      <c r="Z363" s="99">
        <v>303780.15999999997</v>
      </c>
      <c r="AA363" s="99">
        <f t="shared" si="54"/>
        <v>7709443.2999999998</v>
      </c>
      <c r="AB363" s="99"/>
      <c r="AC363" s="99"/>
      <c r="AD363" s="99">
        <f t="shared" si="55"/>
        <v>7709443.2999999998</v>
      </c>
      <c r="AE363" s="101"/>
      <c r="AF363" s="96">
        <v>2022</v>
      </c>
      <c r="AG363" s="96">
        <v>2022</v>
      </c>
    </row>
    <row r="364" spans="1:33" ht="84.9" hidden="1" customHeight="1" x14ac:dyDescent="0.45">
      <c r="A364" s="96">
        <v>344</v>
      </c>
      <c r="B364" s="96" t="s">
        <v>587</v>
      </c>
      <c r="C364" s="96" t="s">
        <v>243</v>
      </c>
      <c r="D364" s="96">
        <v>1980</v>
      </c>
      <c r="E364" s="96">
        <v>9</v>
      </c>
      <c r="F364" s="96">
        <v>1</v>
      </c>
      <c r="G364" s="97">
        <v>2586.6999999999998</v>
      </c>
      <c r="H364" s="97">
        <v>2586.6999999999998</v>
      </c>
      <c r="I364" s="97">
        <v>2586.6999999999998</v>
      </c>
      <c r="J364" s="96">
        <v>102</v>
      </c>
      <c r="K364" s="96" t="s">
        <v>365</v>
      </c>
      <c r="L364" s="96" t="s">
        <v>366</v>
      </c>
      <c r="M364" s="96"/>
      <c r="N364" s="99"/>
      <c r="O364" s="99"/>
      <c r="P364" s="99"/>
      <c r="Q364" s="99"/>
      <c r="R364" s="99"/>
      <c r="S364" s="99"/>
      <c r="T364" s="99"/>
      <c r="U364" s="99">
        <v>1851415.78</v>
      </c>
      <c r="V364" s="99"/>
      <c r="W364" s="99"/>
      <c r="X364" s="99"/>
      <c r="Y364" s="99"/>
      <c r="Z364" s="99">
        <v>75945.039999999994</v>
      </c>
      <c r="AA364" s="99">
        <f t="shared" si="54"/>
        <v>1927360.82</v>
      </c>
      <c r="AB364" s="99"/>
      <c r="AC364" s="99"/>
      <c r="AD364" s="99">
        <f t="shared" si="55"/>
        <v>1927360.82</v>
      </c>
      <c r="AE364" s="101"/>
      <c r="AF364" s="96">
        <v>2022</v>
      </c>
      <c r="AG364" s="96">
        <v>2022</v>
      </c>
    </row>
    <row r="365" spans="1:33" ht="84.9" hidden="1" customHeight="1" x14ac:dyDescent="0.45">
      <c r="A365" s="96">
        <v>345</v>
      </c>
      <c r="B365" s="96" t="s">
        <v>587</v>
      </c>
      <c r="C365" s="96" t="s">
        <v>244</v>
      </c>
      <c r="D365" s="96">
        <v>1980</v>
      </c>
      <c r="E365" s="96">
        <v>9</v>
      </c>
      <c r="F365" s="96">
        <v>4</v>
      </c>
      <c r="G365" s="102">
        <v>10922</v>
      </c>
      <c r="H365" s="97">
        <v>12439.4</v>
      </c>
      <c r="I365" s="97">
        <v>12439.4</v>
      </c>
      <c r="J365" s="96">
        <v>661</v>
      </c>
      <c r="K365" s="96" t="s">
        <v>365</v>
      </c>
      <c r="L365" s="96" t="s">
        <v>366</v>
      </c>
      <c r="M365" s="96"/>
      <c r="N365" s="99"/>
      <c r="O365" s="99"/>
      <c r="P365" s="99"/>
      <c r="Q365" s="99"/>
      <c r="R365" s="99"/>
      <c r="S365" s="99"/>
      <c r="T365" s="99"/>
      <c r="U365" s="99">
        <v>7405663.1399999997</v>
      </c>
      <c r="V365" s="99"/>
      <c r="W365" s="99"/>
      <c r="X365" s="99"/>
      <c r="Y365" s="99"/>
      <c r="Z365" s="99">
        <v>303780.15999999997</v>
      </c>
      <c r="AA365" s="99">
        <f t="shared" si="54"/>
        <v>7709443.2999999998</v>
      </c>
      <c r="AB365" s="99"/>
      <c r="AC365" s="99"/>
      <c r="AD365" s="99">
        <f t="shared" si="55"/>
        <v>7709443.2999999998</v>
      </c>
      <c r="AE365" s="101"/>
      <c r="AF365" s="96">
        <v>2022</v>
      </c>
      <c r="AG365" s="96">
        <v>2022</v>
      </c>
    </row>
    <row r="366" spans="1:33" ht="84.9" hidden="1" customHeight="1" x14ac:dyDescent="0.45">
      <c r="A366" s="96">
        <v>346</v>
      </c>
      <c r="B366" s="96" t="s">
        <v>587</v>
      </c>
      <c r="C366" s="96" t="s">
        <v>245</v>
      </c>
      <c r="D366" s="96">
        <v>1980</v>
      </c>
      <c r="E366" s="96">
        <v>9</v>
      </c>
      <c r="F366" s="96">
        <v>1</v>
      </c>
      <c r="G366" s="97">
        <v>1847.6</v>
      </c>
      <c r="H366" s="97">
        <v>1847.6</v>
      </c>
      <c r="I366" s="97">
        <v>1847.6</v>
      </c>
      <c r="J366" s="96">
        <v>81</v>
      </c>
      <c r="K366" s="96" t="s">
        <v>365</v>
      </c>
      <c r="L366" s="96" t="s">
        <v>366</v>
      </c>
      <c r="M366" s="96"/>
      <c r="N366" s="99"/>
      <c r="O366" s="99"/>
      <c r="P366" s="99"/>
      <c r="Q366" s="99"/>
      <c r="R366" s="99"/>
      <c r="S366" s="99"/>
      <c r="T366" s="99"/>
      <c r="U366" s="99">
        <v>1851415.78</v>
      </c>
      <c r="V366" s="99"/>
      <c r="W366" s="99"/>
      <c r="X366" s="99"/>
      <c r="Y366" s="99"/>
      <c r="Z366" s="99">
        <v>75945.039999999994</v>
      </c>
      <c r="AA366" s="99">
        <f t="shared" si="54"/>
        <v>1927360.82</v>
      </c>
      <c r="AB366" s="99"/>
      <c r="AC366" s="99"/>
      <c r="AD366" s="99">
        <f t="shared" si="55"/>
        <v>1927360.82</v>
      </c>
      <c r="AE366" s="101"/>
      <c r="AF366" s="96">
        <v>2022</v>
      </c>
      <c r="AG366" s="96">
        <v>2022</v>
      </c>
    </row>
    <row r="367" spans="1:33" ht="84.9" hidden="1" customHeight="1" x14ac:dyDescent="0.45">
      <c r="A367" s="96">
        <v>347</v>
      </c>
      <c r="B367" s="96" t="s">
        <v>587</v>
      </c>
      <c r="C367" s="96" t="s">
        <v>246</v>
      </c>
      <c r="D367" s="96">
        <v>1980</v>
      </c>
      <c r="E367" s="96">
        <v>9</v>
      </c>
      <c r="F367" s="96">
        <v>2</v>
      </c>
      <c r="G367" s="97">
        <v>4413.5</v>
      </c>
      <c r="H367" s="97">
        <v>4413.5</v>
      </c>
      <c r="I367" s="97">
        <v>4413.5</v>
      </c>
      <c r="J367" s="96">
        <v>170</v>
      </c>
      <c r="K367" s="96" t="s">
        <v>365</v>
      </c>
      <c r="L367" s="96" t="s">
        <v>366</v>
      </c>
      <c r="M367" s="96"/>
      <c r="N367" s="99"/>
      <c r="O367" s="99"/>
      <c r="P367" s="99"/>
      <c r="Q367" s="99"/>
      <c r="R367" s="99"/>
      <c r="S367" s="99"/>
      <c r="T367" s="99"/>
      <c r="U367" s="99">
        <v>3702831.57</v>
      </c>
      <c r="V367" s="99"/>
      <c r="W367" s="99"/>
      <c r="X367" s="99"/>
      <c r="Y367" s="99"/>
      <c r="Z367" s="99">
        <v>151890.07999999999</v>
      </c>
      <c r="AA367" s="99">
        <f t="shared" si="54"/>
        <v>3854721.65</v>
      </c>
      <c r="AB367" s="99"/>
      <c r="AC367" s="99"/>
      <c r="AD367" s="99">
        <f t="shared" si="55"/>
        <v>3854721.65</v>
      </c>
      <c r="AE367" s="101"/>
      <c r="AF367" s="96">
        <v>2022</v>
      </c>
      <c r="AG367" s="96">
        <v>2022</v>
      </c>
    </row>
    <row r="368" spans="1:33" ht="84.9" hidden="1" customHeight="1" x14ac:dyDescent="0.45">
      <c r="A368" s="96">
        <v>348</v>
      </c>
      <c r="B368" s="96" t="s">
        <v>587</v>
      </c>
      <c r="C368" s="96" t="s">
        <v>247</v>
      </c>
      <c r="D368" s="96" t="s">
        <v>408</v>
      </c>
      <c r="E368" s="96">
        <v>5</v>
      </c>
      <c r="F368" s="96">
        <v>8</v>
      </c>
      <c r="G368" s="97">
        <v>6302.2</v>
      </c>
      <c r="H368" s="97">
        <v>5765.8</v>
      </c>
      <c r="I368" s="97">
        <v>5765.8</v>
      </c>
      <c r="J368" s="96">
        <v>303</v>
      </c>
      <c r="K368" s="96" t="s">
        <v>365</v>
      </c>
      <c r="L368" s="96" t="s">
        <v>366</v>
      </c>
      <c r="M368" s="96"/>
      <c r="N368" s="99"/>
      <c r="O368" s="99">
        <v>2377151.2400000002</v>
      </c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>
        <v>124000</v>
      </c>
      <c r="AA368" s="99">
        <f t="shared" ref="AA368:AA370" si="56">SUM(O368+Z368)</f>
        <v>2501151.2400000002</v>
      </c>
      <c r="AB368" s="99">
        <v>2501151.2400000002</v>
      </c>
      <c r="AC368" s="99"/>
      <c r="AD368" s="99"/>
      <c r="AE368" s="101"/>
      <c r="AF368" s="96">
        <v>2022</v>
      </c>
      <c r="AG368" s="96">
        <v>2022</v>
      </c>
    </row>
    <row r="369" spans="1:33" ht="84.9" hidden="1" customHeight="1" x14ac:dyDescent="0.45">
      <c r="A369" s="96">
        <v>349</v>
      </c>
      <c r="B369" s="96" t="s">
        <v>587</v>
      </c>
      <c r="C369" s="96" t="s">
        <v>248</v>
      </c>
      <c r="D369" s="96">
        <v>1969</v>
      </c>
      <c r="E369" s="96">
        <v>5</v>
      </c>
      <c r="F369" s="96">
        <v>6</v>
      </c>
      <c r="G369" s="97">
        <v>4454.3999999999996</v>
      </c>
      <c r="H369" s="97">
        <v>4375.5</v>
      </c>
      <c r="I369" s="97">
        <v>4375.5</v>
      </c>
      <c r="J369" s="96">
        <v>216</v>
      </c>
      <c r="K369" s="96" t="s">
        <v>365</v>
      </c>
      <c r="L369" s="96" t="s">
        <v>366</v>
      </c>
      <c r="M369" s="96"/>
      <c r="N369" s="99"/>
      <c r="O369" s="99">
        <v>2377151.2400000002</v>
      </c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>
        <v>124000</v>
      </c>
      <c r="AA369" s="99">
        <f t="shared" si="56"/>
        <v>2501151.2400000002</v>
      </c>
      <c r="AB369" s="99">
        <v>2501151.2400000002</v>
      </c>
      <c r="AC369" s="99"/>
      <c r="AD369" s="99"/>
      <c r="AE369" s="101"/>
      <c r="AF369" s="96">
        <v>2022</v>
      </c>
      <c r="AG369" s="96">
        <v>2022</v>
      </c>
    </row>
    <row r="370" spans="1:33" ht="84.9" hidden="1" customHeight="1" x14ac:dyDescent="0.45">
      <c r="A370" s="96">
        <v>350</v>
      </c>
      <c r="B370" s="96" t="s">
        <v>587</v>
      </c>
      <c r="C370" s="96" t="s">
        <v>249</v>
      </c>
      <c r="D370" s="96">
        <v>1969</v>
      </c>
      <c r="E370" s="96">
        <v>5</v>
      </c>
      <c r="F370" s="96">
        <v>6</v>
      </c>
      <c r="G370" s="97">
        <v>4383.5</v>
      </c>
      <c r="H370" s="97">
        <v>4367.8</v>
      </c>
      <c r="I370" s="97">
        <v>4367.8</v>
      </c>
      <c r="J370" s="96">
        <v>232</v>
      </c>
      <c r="K370" s="96" t="s">
        <v>365</v>
      </c>
      <c r="L370" s="96" t="s">
        <v>366</v>
      </c>
      <c r="M370" s="96"/>
      <c r="N370" s="99"/>
      <c r="O370" s="99">
        <v>2377151.2400000002</v>
      </c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>
        <v>124000</v>
      </c>
      <c r="AA370" s="99">
        <f t="shared" si="56"/>
        <v>2501151.2400000002</v>
      </c>
      <c r="AB370" s="99">
        <v>2501151.2400000002</v>
      </c>
      <c r="AC370" s="99"/>
      <c r="AD370" s="99"/>
      <c r="AE370" s="101"/>
      <c r="AF370" s="96">
        <v>2022</v>
      </c>
      <c r="AG370" s="96">
        <v>2022</v>
      </c>
    </row>
    <row r="371" spans="1:33" ht="84.9" hidden="1" customHeight="1" x14ac:dyDescent="0.45">
      <c r="A371" s="96">
        <v>351</v>
      </c>
      <c r="B371" s="96" t="s">
        <v>587</v>
      </c>
      <c r="C371" s="96" t="s">
        <v>432</v>
      </c>
      <c r="D371" s="96">
        <v>1966</v>
      </c>
      <c r="E371" s="96">
        <v>5</v>
      </c>
      <c r="F371" s="96">
        <v>8</v>
      </c>
      <c r="G371" s="102">
        <v>6425.3</v>
      </c>
      <c r="H371" s="97">
        <f>5800.9+57.3</f>
        <v>5858.2</v>
      </c>
      <c r="I371" s="97">
        <v>3999.6</v>
      </c>
      <c r="J371" s="96">
        <v>230</v>
      </c>
      <c r="K371" s="96" t="s">
        <v>365</v>
      </c>
      <c r="L371" s="96" t="s">
        <v>366</v>
      </c>
      <c r="M371" s="96"/>
      <c r="N371" s="99"/>
      <c r="O371" s="99">
        <f>ROUND(H371*3349.66*1.015,2)</f>
        <v>19917322.890000001</v>
      </c>
      <c r="P371" s="99">
        <f>ROUND(H371*650.2*1.015,2)</f>
        <v>3866136.66</v>
      </c>
      <c r="Q371" s="99">
        <f>ROUND(H371*643.1*1.015,2)</f>
        <v>3823919.55</v>
      </c>
      <c r="R371" s="99">
        <f>1197448.78*1.015</f>
        <v>1215410.5116999999</v>
      </c>
      <c r="S371" s="99">
        <f>ROUND(H371*644.55*1.015,2)</f>
        <v>3832541.35</v>
      </c>
      <c r="T371" s="100"/>
      <c r="U371" s="99"/>
      <c r="V371" s="99"/>
      <c r="W371" s="99"/>
      <c r="X371" s="99"/>
      <c r="Y371" s="99"/>
      <c r="Z371" s="99">
        <v>1457558.06</v>
      </c>
      <c r="AA371" s="99">
        <f>SUM(O371+P371+Q371+R371+S371+Z371)</f>
        <v>34112889.021700002</v>
      </c>
      <c r="AB371" s="99"/>
      <c r="AC371" s="99"/>
      <c r="AD371" s="99">
        <f t="shared" ref="AD371:AD387" si="57">AA371</f>
        <v>34112889.021700002</v>
      </c>
      <c r="AE371" s="101"/>
      <c r="AF371" s="96">
        <v>2022</v>
      </c>
      <c r="AG371" s="96">
        <v>2023</v>
      </c>
    </row>
    <row r="372" spans="1:33" ht="84.9" hidden="1" customHeight="1" x14ac:dyDescent="0.45">
      <c r="A372" s="96">
        <v>352</v>
      </c>
      <c r="B372" s="96" t="s">
        <v>587</v>
      </c>
      <c r="C372" s="96" t="s">
        <v>433</v>
      </c>
      <c r="D372" s="96">
        <v>1955</v>
      </c>
      <c r="E372" s="96">
        <v>5</v>
      </c>
      <c r="F372" s="96">
        <v>4</v>
      </c>
      <c r="G372" s="97">
        <v>5210.3999999999996</v>
      </c>
      <c r="H372" s="97">
        <f>3409.3+1799.3</f>
        <v>5208.6000000000004</v>
      </c>
      <c r="I372" s="97">
        <v>3409.3</v>
      </c>
      <c r="J372" s="96" t="s">
        <v>364</v>
      </c>
      <c r="K372" s="96" t="s">
        <v>365</v>
      </c>
      <c r="L372" s="96" t="s">
        <v>366</v>
      </c>
      <c r="M372" s="96"/>
      <c r="N372" s="99"/>
      <c r="O372" s="99"/>
      <c r="P372" s="99"/>
      <c r="Q372" s="99"/>
      <c r="R372" s="99"/>
      <c r="S372" s="99"/>
      <c r="T372" s="99">
        <f>ROUND(H372*338.11*1.015,2)</f>
        <v>1787495.94</v>
      </c>
      <c r="U372" s="99"/>
      <c r="V372" s="99"/>
      <c r="W372" s="99"/>
      <c r="X372" s="99"/>
      <c r="Y372" s="99"/>
      <c r="Z372" s="99">
        <v>486639.82</v>
      </c>
      <c r="AA372" s="99">
        <f>SUM(T372+Z372)</f>
        <v>2274135.7599999998</v>
      </c>
      <c r="AB372" s="99"/>
      <c r="AC372" s="99"/>
      <c r="AD372" s="99">
        <f>SUM(N372:Z372)</f>
        <v>2274135.7599999998</v>
      </c>
      <c r="AE372" s="101"/>
      <c r="AF372" s="96">
        <v>2020</v>
      </c>
      <c r="AG372" s="96">
        <v>2022</v>
      </c>
    </row>
    <row r="373" spans="1:33" ht="84.9" hidden="1" customHeight="1" x14ac:dyDescent="0.45">
      <c r="A373" s="96">
        <v>353</v>
      </c>
      <c r="B373" s="96" t="s">
        <v>587</v>
      </c>
      <c r="C373" s="96" t="s">
        <v>250</v>
      </c>
      <c r="D373" s="96">
        <v>1978</v>
      </c>
      <c r="E373" s="96">
        <v>9</v>
      </c>
      <c r="F373" s="96">
        <v>3</v>
      </c>
      <c r="G373" s="97">
        <v>8434.5</v>
      </c>
      <c r="H373" s="97">
        <v>8434.5</v>
      </c>
      <c r="I373" s="97">
        <v>8434.5</v>
      </c>
      <c r="J373" s="96">
        <v>264</v>
      </c>
      <c r="K373" s="96" t="s">
        <v>365</v>
      </c>
      <c r="L373" s="96" t="s">
        <v>366</v>
      </c>
      <c r="M373" s="96"/>
      <c r="N373" s="99"/>
      <c r="O373" s="99"/>
      <c r="P373" s="99"/>
      <c r="Q373" s="99"/>
      <c r="R373" s="99"/>
      <c r="S373" s="99"/>
      <c r="T373" s="99"/>
      <c r="U373" s="99">
        <v>5554247.3499999996</v>
      </c>
      <c r="V373" s="99"/>
      <c r="W373" s="99"/>
      <c r="X373" s="99"/>
      <c r="Y373" s="99"/>
      <c r="Z373" s="99">
        <v>227835.12</v>
      </c>
      <c r="AA373" s="99">
        <f t="shared" ref="AA373:AA387" si="58">SUM(U373+Z373)</f>
        <v>5782082.4699999997</v>
      </c>
      <c r="AB373" s="99"/>
      <c r="AC373" s="99"/>
      <c r="AD373" s="99">
        <f t="shared" si="57"/>
        <v>5782082.4699999997</v>
      </c>
      <c r="AE373" s="101"/>
      <c r="AF373" s="96">
        <v>2022</v>
      </c>
      <c r="AG373" s="96">
        <v>2022</v>
      </c>
    </row>
    <row r="374" spans="1:33" ht="84.9" hidden="1" customHeight="1" x14ac:dyDescent="0.45">
      <c r="A374" s="96">
        <v>354</v>
      </c>
      <c r="B374" s="96" t="s">
        <v>587</v>
      </c>
      <c r="C374" s="96" t="s">
        <v>251</v>
      </c>
      <c r="D374" s="96">
        <v>1980</v>
      </c>
      <c r="E374" s="96">
        <v>9</v>
      </c>
      <c r="F374" s="96">
        <v>4</v>
      </c>
      <c r="G374" s="97">
        <v>12557.4</v>
      </c>
      <c r="H374" s="97">
        <v>12557.4</v>
      </c>
      <c r="I374" s="97">
        <v>12557.4</v>
      </c>
      <c r="J374" s="96">
        <v>505</v>
      </c>
      <c r="K374" s="96" t="s">
        <v>365</v>
      </c>
      <c r="L374" s="96" t="s">
        <v>366</v>
      </c>
      <c r="M374" s="96"/>
      <c r="N374" s="99"/>
      <c r="O374" s="99"/>
      <c r="P374" s="99"/>
      <c r="Q374" s="99"/>
      <c r="R374" s="99"/>
      <c r="S374" s="99"/>
      <c r="T374" s="99"/>
      <c r="U374" s="99">
        <v>7405663.1399999997</v>
      </c>
      <c r="V374" s="99"/>
      <c r="W374" s="99"/>
      <c r="X374" s="99"/>
      <c r="Y374" s="99"/>
      <c r="Z374" s="99">
        <v>303780.15999999997</v>
      </c>
      <c r="AA374" s="99">
        <f t="shared" si="58"/>
        <v>7709443.2999999998</v>
      </c>
      <c r="AB374" s="99"/>
      <c r="AC374" s="99"/>
      <c r="AD374" s="99">
        <f t="shared" si="57"/>
        <v>7709443.2999999998</v>
      </c>
      <c r="AE374" s="101"/>
      <c r="AF374" s="96">
        <v>2022</v>
      </c>
      <c r="AG374" s="96">
        <v>2022</v>
      </c>
    </row>
    <row r="375" spans="1:33" ht="84.9" hidden="1" customHeight="1" x14ac:dyDescent="0.45">
      <c r="A375" s="96">
        <v>355</v>
      </c>
      <c r="B375" s="96" t="s">
        <v>587</v>
      </c>
      <c r="C375" s="96" t="s">
        <v>252</v>
      </c>
      <c r="D375" s="96">
        <v>1980</v>
      </c>
      <c r="E375" s="96">
        <v>9</v>
      </c>
      <c r="F375" s="96">
        <v>1</v>
      </c>
      <c r="G375" s="97">
        <v>3006.6</v>
      </c>
      <c r="H375" s="97">
        <v>3006.6</v>
      </c>
      <c r="I375" s="97">
        <v>3006.6</v>
      </c>
      <c r="J375" s="96">
        <v>166</v>
      </c>
      <c r="K375" s="96" t="s">
        <v>365</v>
      </c>
      <c r="L375" s="96" t="s">
        <v>366</v>
      </c>
      <c r="M375" s="96"/>
      <c r="N375" s="99"/>
      <c r="O375" s="99"/>
      <c r="P375" s="99"/>
      <c r="Q375" s="99"/>
      <c r="R375" s="99"/>
      <c r="S375" s="99"/>
      <c r="T375" s="99"/>
      <c r="U375" s="99">
        <v>1851415.78</v>
      </c>
      <c r="V375" s="99"/>
      <c r="W375" s="99"/>
      <c r="X375" s="99"/>
      <c r="Y375" s="99"/>
      <c r="Z375" s="99">
        <v>75945.039999999994</v>
      </c>
      <c r="AA375" s="99">
        <f t="shared" si="58"/>
        <v>1927360.82</v>
      </c>
      <c r="AB375" s="99"/>
      <c r="AC375" s="99"/>
      <c r="AD375" s="99">
        <f t="shared" si="57"/>
        <v>1927360.82</v>
      </c>
      <c r="AE375" s="101"/>
      <c r="AF375" s="96">
        <v>2022</v>
      </c>
      <c r="AG375" s="96">
        <v>2022</v>
      </c>
    </row>
    <row r="376" spans="1:33" ht="84.9" hidden="1" customHeight="1" x14ac:dyDescent="0.45">
      <c r="A376" s="96">
        <v>356</v>
      </c>
      <c r="B376" s="96" t="s">
        <v>587</v>
      </c>
      <c r="C376" s="96" t="s">
        <v>253</v>
      </c>
      <c r="D376" s="96">
        <v>1981</v>
      </c>
      <c r="E376" s="96">
        <v>9</v>
      </c>
      <c r="F376" s="96">
        <v>1</v>
      </c>
      <c r="G376" s="97">
        <v>2081.1</v>
      </c>
      <c r="H376" s="97">
        <v>2081.1</v>
      </c>
      <c r="I376" s="97">
        <v>2081.1</v>
      </c>
      <c r="J376" s="96">
        <v>88</v>
      </c>
      <c r="K376" s="96" t="s">
        <v>365</v>
      </c>
      <c r="L376" s="96" t="s">
        <v>366</v>
      </c>
      <c r="M376" s="96"/>
      <c r="N376" s="99"/>
      <c r="O376" s="99"/>
      <c r="P376" s="99"/>
      <c r="Q376" s="99"/>
      <c r="R376" s="99"/>
      <c r="S376" s="99"/>
      <c r="T376" s="99"/>
      <c r="U376" s="99">
        <v>1851415.78</v>
      </c>
      <c r="V376" s="99"/>
      <c r="W376" s="99"/>
      <c r="X376" s="99"/>
      <c r="Y376" s="99"/>
      <c r="Z376" s="99">
        <v>75945.039999999994</v>
      </c>
      <c r="AA376" s="99">
        <f t="shared" si="58"/>
        <v>1927360.82</v>
      </c>
      <c r="AB376" s="99"/>
      <c r="AC376" s="99"/>
      <c r="AD376" s="99">
        <f t="shared" si="57"/>
        <v>1927360.82</v>
      </c>
      <c r="AE376" s="101"/>
      <c r="AF376" s="96">
        <v>2022</v>
      </c>
      <c r="AG376" s="96">
        <v>2022</v>
      </c>
    </row>
    <row r="377" spans="1:33" ht="84.9" hidden="1" customHeight="1" x14ac:dyDescent="0.45">
      <c r="A377" s="96">
        <v>357</v>
      </c>
      <c r="B377" s="96" t="s">
        <v>587</v>
      </c>
      <c r="C377" s="96" t="s">
        <v>254</v>
      </c>
      <c r="D377" s="96">
        <v>1980</v>
      </c>
      <c r="E377" s="96">
        <v>9</v>
      </c>
      <c r="F377" s="96">
        <v>2</v>
      </c>
      <c r="G377" s="97">
        <v>4425.2</v>
      </c>
      <c r="H377" s="97">
        <v>4425.2</v>
      </c>
      <c r="I377" s="97">
        <v>4425.2</v>
      </c>
      <c r="J377" s="96">
        <v>167</v>
      </c>
      <c r="K377" s="96" t="s">
        <v>365</v>
      </c>
      <c r="L377" s="96" t="s">
        <v>366</v>
      </c>
      <c r="M377" s="96"/>
      <c r="N377" s="99"/>
      <c r="O377" s="99"/>
      <c r="P377" s="99"/>
      <c r="Q377" s="99"/>
      <c r="R377" s="99"/>
      <c r="S377" s="99"/>
      <c r="T377" s="99"/>
      <c r="U377" s="99">
        <v>3702831.57</v>
      </c>
      <c r="V377" s="99"/>
      <c r="W377" s="99"/>
      <c r="X377" s="99"/>
      <c r="Y377" s="99"/>
      <c r="Z377" s="99">
        <v>151890.07999999999</v>
      </c>
      <c r="AA377" s="99">
        <f t="shared" si="58"/>
        <v>3854721.65</v>
      </c>
      <c r="AB377" s="99"/>
      <c r="AC377" s="99"/>
      <c r="AD377" s="99">
        <f t="shared" si="57"/>
        <v>3854721.65</v>
      </c>
      <c r="AE377" s="101"/>
      <c r="AF377" s="96">
        <v>2022</v>
      </c>
      <c r="AG377" s="96">
        <v>2022</v>
      </c>
    </row>
    <row r="378" spans="1:33" ht="84.9" hidden="1" customHeight="1" x14ac:dyDescent="0.45">
      <c r="A378" s="96">
        <v>358</v>
      </c>
      <c r="B378" s="96" t="s">
        <v>587</v>
      </c>
      <c r="C378" s="96" t="s">
        <v>255</v>
      </c>
      <c r="D378" s="96">
        <v>1979</v>
      </c>
      <c r="E378" s="96">
        <v>9</v>
      </c>
      <c r="F378" s="96">
        <v>1</v>
      </c>
      <c r="G378" s="97">
        <v>2697.4</v>
      </c>
      <c r="H378" s="97">
        <v>2697.4</v>
      </c>
      <c r="I378" s="97">
        <v>2697.4</v>
      </c>
      <c r="J378" s="96">
        <v>105</v>
      </c>
      <c r="K378" s="96" t="s">
        <v>365</v>
      </c>
      <c r="L378" s="96" t="s">
        <v>366</v>
      </c>
      <c r="M378" s="96"/>
      <c r="N378" s="99"/>
      <c r="O378" s="99"/>
      <c r="P378" s="99"/>
      <c r="Q378" s="99"/>
      <c r="R378" s="99"/>
      <c r="S378" s="99"/>
      <c r="T378" s="99"/>
      <c r="U378" s="99">
        <v>1851415.78</v>
      </c>
      <c r="V378" s="99"/>
      <c r="W378" s="99"/>
      <c r="X378" s="99"/>
      <c r="Y378" s="99"/>
      <c r="Z378" s="99">
        <v>75945.039999999994</v>
      </c>
      <c r="AA378" s="99">
        <f t="shared" si="58"/>
        <v>1927360.82</v>
      </c>
      <c r="AB378" s="99"/>
      <c r="AC378" s="99"/>
      <c r="AD378" s="99">
        <f t="shared" si="57"/>
        <v>1927360.82</v>
      </c>
      <c r="AE378" s="101"/>
      <c r="AF378" s="96">
        <v>2022</v>
      </c>
      <c r="AG378" s="96">
        <v>2022</v>
      </c>
    </row>
    <row r="379" spans="1:33" ht="84.9" hidden="1" customHeight="1" x14ac:dyDescent="0.45">
      <c r="A379" s="96">
        <v>359</v>
      </c>
      <c r="B379" s="96" t="s">
        <v>587</v>
      </c>
      <c r="C379" s="96" t="s">
        <v>256</v>
      </c>
      <c r="D379" s="96">
        <v>1979</v>
      </c>
      <c r="E379" s="96">
        <v>9</v>
      </c>
      <c r="F379" s="96">
        <v>2</v>
      </c>
      <c r="G379" s="97">
        <v>6128.9</v>
      </c>
      <c r="H379" s="97">
        <v>6128.9</v>
      </c>
      <c r="I379" s="97">
        <v>6128.9</v>
      </c>
      <c r="J379" s="96">
        <v>328</v>
      </c>
      <c r="K379" s="96" t="s">
        <v>365</v>
      </c>
      <c r="L379" s="96" t="s">
        <v>366</v>
      </c>
      <c r="M379" s="96"/>
      <c r="N379" s="99"/>
      <c r="O379" s="99"/>
      <c r="P379" s="99"/>
      <c r="Q379" s="99"/>
      <c r="R379" s="99"/>
      <c r="S379" s="99"/>
      <c r="T379" s="99"/>
      <c r="U379" s="99">
        <v>3702831.57</v>
      </c>
      <c r="V379" s="99"/>
      <c r="W379" s="99"/>
      <c r="X379" s="99"/>
      <c r="Y379" s="99"/>
      <c r="Z379" s="99">
        <v>151890.07999999999</v>
      </c>
      <c r="AA379" s="99">
        <f t="shared" si="58"/>
        <v>3854721.65</v>
      </c>
      <c r="AB379" s="99"/>
      <c r="AC379" s="99"/>
      <c r="AD379" s="99">
        <f t="shared" si="57"/>
        <v>3854721.65</v>
      </c>
      <c r="AE379" s="101"/>
      <c r="AF379" s="96">
        <v>2022</v>
      </c>
      <c r="AG379" s="96">
        <v>2022</v>
      </c>
    </row>
    <row r="380" spans="1:33" ht="84.9" hidden="1" customHeight="1" x14ac:dyDescent="0.45">
      <c r="A380" s="96">
        <v>360</v>
      </c>
      <c r="B380" s="96" t="s">
        <v>587</v>
      </c>
      <c r="C380" s="96" t="s">
        <v>257</v>
      </c>
      <c r="D380" s="96">
        <v>1976</v>
      </c>
      <c r="E380" s="96">
        <v>9</v>
      </c>
      <c r="F380" s="96">
        <v>4</v>
      </c>
      <c r="G380" s="97">
        <v>9237.2999999999993</v>
      </c>
      <c r="H380" s="97">
        <v>9237.2999999999993</v>
      </c>
      <c r="I380" s="97">
        <v>9237.2999999999993</v>
      </c>
      <c r="J380" s="96">
        <v>360</v>
      </c>
      <c r="K380" s="96" t="s">
        <v>365</v>
      </c>
      <c r="L380" s="96" t="s">
        <v>366</v>
      </c>
      <c r="M380" s="96"/>
      <c r="N380" s="99"/>
      <c r="O380" s="99"/>
      <c r="P380" s="99"/>
      <c r="Q380" s="99"/>
      <c r="R380" s="99"/>
      <c r="S380" s="99"/>
      <c r="T380" s="99"/>
      <c r="U380" s="99">
        <v>7405663.1399999997</v>
      </c>
      <c r="V380" s="99"/>
      <c r="W380" s="99"/>
      <c r="X380" s="99"/>
      <c r="Y380" s="99"/>
      <c r="Z380" s="99">
        <v>303780.15999999997</v>
      </c>
      <c r="AA380" s="99">
        <f t="shared" si="58"/>
        <v>7709443.2999999998</v>
      </c>
      <c r="AB380" s="99"/>
      <c r="AC380" s="99"/>
      <c r="AD380" s="99">
        <f t="shared" si="57"/>
        <v>7709443.2999999998</v>
      </c>
      <c r="AE380" s="101"/>
      <c r="AF380" s="96">
        <v>2022</v>
      </c>
      <c r="AG380" s="96">
        <v>2022</v>
      </c>
    </row>
    <row r="381" spans="1:33" ht="84.9" hidden="1" customHeight="1" x14ac:dyDescent="0.45">
      <c r="A381" s="96">
        <v>361</v>
      </c>
      <c r="B381" s="96" t="s">
        <v>587</v>
      </c>
      <c r="C381" s="96" t="s">
        <v>258</v>
      </c>
      <c r="D381" s="96">
        <v>1976</v>
      </c>
      <c r="E381" s="96">
        <v>9</v>
      </c>
      <c r="F381" s="96">
        <v>4</v>
      </c>
      <c r="G381" s="97">
        <v>9332.6</v>
      </c>
      <c r="H381" s="97">
        <v>9332.6</v>
      </c>
      <c r="I381" s="97">
        <v>9332.6</v>
      </c>
      <c r="J381" s="96">
        <v>351</v>
      </c>
      <c r="K381" s="96" t="s">
        <v>365</v>
      </c>
      <c r="L381" s="96" t="s">
        <v>366</v>
      </c>
      <c r="M381" s="96"/>
      <c r="N381" s="99"/>
      <c r="O381" s="99"/>
      <c r="P381" s="99"/>
      <c r="Q381" s="99"/>
      <c r="R381" s="99"/>
      <c r="S381" s="99"/>
      <c r="T381" s="99"/>
      <c r="U381" s="99">
        <v>7405663.1399999997</v>
      </c>
      <c r="V381" s="99"/>
      <c r="W381" s="99"/>
      <c r="X381" s="99"/>
      <c r="Y381" s="99"/>
      <c r="Z381" s="99">
        <v>303780.15999999997</v>
      </c>
      <c r="AA381" s="99">
        <f t="shared" si="58"/>
        <v>7709443.2999999998</v>
      </c>
      <c r="AB381" s="99"/>
      <c r="AC381" s="99"/>
      <c r="AD381" s="99">
        <f t="shared" si="57"/>
        <v>7709443.2999999998</v>
      </c>
      <c r="AE381" s="101"/>
      <c r="AF381" s="96">
        <v>2022</v>
      </c>
      <c r="AG381" s="96">
        <v>2022</v>
      </c>
    </row>
    <row r="382" spans="1:33" ht="84.9" hidden="1" customHeight="1" x14ac:dyDescent="0.45">
      <c r="A382" s="96">
        <v>362</v>
      </c>
      <c r="B382" s="96" t="s">
        <v>587</v>
      </c>
      <c r="C382" s="96" t="s">
        <v>259</v>
      </c>
      <c r="D382" s="96">
        <v>1976</v>
      </c>
      <c r="E382" s="96">
        <v>9</v>
      </c>
      <c r="F382" s="96">
        <v>2</v>
      </c>
      <c r="G382" s="97">
        <v>4761.8</v>
      </c>
      <c r="H382" s="97">
        <v>4761.8</v>
      </c>
      <c r="I382" s="97">
        <v>4761.8</v>
      </c>
      <c r="J382" s="96">
        <v>177</v>
      </c>
      <c r="K382" s="96" t="s">
        <v>365</v>
      </c>
      <c r="L382" s="96" t="s">
        <v>366</v>
      </c>
      <c r="M382" s="96"/>
      <c r="N382" s="99"/>
      <c r="O382" s="99"/>
      <c r="P382" s="99"/>
      <c r="Q382" s="99"/>
      <c r="R382" s="99"/>
      <c r="S382" s="99"/>
      <c r="T382" s="99"/>
      <c r="U382" s="99">
        <v>3702831.57</v>
      </c>
      <c r="V382" s="99"/>
      <c r="W382" s="99"/>
      <c r="X382" s="99"/>
      <c r="Y382" s="99"/>
      <c r="Z382" s="99">
        <v>151890.07999999999</v>
      </c>
      <c r="AA382" s="99">
        <f t="shared" si="58"/>
        <v>3854721.65</v>
      </c>
      <c r="AB382" s="99"/>
      <c r="AC382" s="99"/>
      <c r="AD382" s="99">
        <f t="shared" si="57"/>
        <v>3854721.65</v>
      </c>
      <c r="AE382" s="101"/>
      <c r="AF382" s="96">
        <v>2022</v>
      </c>
      <c r="AG382" s="96">
        <v>2022</v>
      </c>
    </row>
    <row r="383" spans="1:33" ht="84.9" hidden="1" customHeight="1" x14ac:dyDescent="0.45">
      <c r="A383" s="96">
        <v>363</v>
      </c>
      <c r="B383" s="96" t="s">
        <v>587</v>
      </c>
      <c r="C383" s="96" t="s">
        <v>260</v>
      </c>
      <c r="D383" s="96">
        <v>1976</v>
      </c>
      <c r="E383" s="96">
        <v>9</v>
      </c>
      <c r="F383" s="96">
        <v>4</v>
      </c>
      <c r="G383" s="97">
        <v>9298.4</v>
      </c>
      <c r="H383" s="97">
        <v>9298.4</v>
      </c>
      <c r="I383" s="97">
        <v>9298.4</v>
      </c>
      <c r="J383" s="96">
        <v>342</v>
      </c>
      <c r="K383" s="96" t="s">
        <v>365</v>
      </c>
      <c r="L383" s="96" t="s">
        <v>366</v>
      </c>
      <c r="M383" s="96"/>
      <c r="N383" s="99"/>
      <c r="O383" s="99"/>
      <c r="P383" s="99"/>
      <c r="Q383" s="99"/>
      <c r="R383" s="99"/>
      <c r="S383" s="99"/>
      <c r="T383" s="99"/>
      <c r="U383" s="99">
        <v>7405663.1399999997</v>
      </c>
      <c r="V383" s="99"/>
      <c r="W383" s="99"/>
      <c r="X383" s="99"/>
      <c r="Y383" s="99"/>
      <c r="Z383" s="99">
        <v>303780.15999999997</v>
      </c>
      <c r="AA383" s="99">
        <f t="shared" si="58"/>
        <v>7709443.2999999998</v>
      </c>
      <c r="AB383" s="99"/>
      <c r="AC383" s="99"/>
      <c r="AD383" s="99">
        <f t="shared" si="57"/>
        <v>7709443.2999999998</v>
      </c>
      <c r="AE383" s="101"/>
      <c r="AF383" s="96">
        <v>2022</v>
      </c>
      <c r="AG383" s="96">
        <v>2022</v>
      </c>
    </row>
    <row r="384" spans="1:33" ht="84.9" hidden="1" customHeight="1" x14ac:dyDescent="0.45">
      <c r="A384" s="96">
        <v>364</v>
      </c>
      <c r="B384" s="96" t="s">
        <v>587</v>
      </c>
      <c r="C384" s="96" t="s">
        <v>261</v>
      </c>
      <c r="D384" s="96">
        <v>1978</v>
      </c>
      <c r="E384" s="96">
        <v>9</v>
      </c>
      <c r="F384" s="96">
        <v>3</v>
      </c>
      <c r="G384" s="97">
        <v>9148</v>
      </c>
      <c r="H384" s="97">
        <v>9148</v>
      </c>
      <c r="I384" s="97">
        <v>7845.8</v>
      </c>
      <c r="J384" s="96" t="s">
        <v>364</v>
      </c>
      <c r="K384" s="96" t="s">
        <v>365</v>
      </c>
      <c r="L384" s="96" t="s">
        <v>366</v>
      </c>
      <c r="M384" s="96"/>
      <c r="N384" s="99"/>
      <c r="O384" s="99"/>
      <c r="P384" s="99"/>
      <c r="Q384" s="99"/>
      <c r="R384" s="99"/>
      <c r="S384" s="99"/>
      <c r="T384" s="99"/>
      <c r="U384" s="99">
        <v>5554247.3499999996</v>
      </c>
      <c r="V384" s="99"/>
      <c r="W384" s="99"/>
      <c r="X384" s="99"/>
      <c r="Y384" s="99"/>
      <c r="Z384" s="99">
        <v>227835.12</v>
      </c>
      <c r="AA384" s="99">
        <f t="shared" si="58"/>
        <v>5782082.4699999997</v>
      </c>
      <c r="AB384" s="99"/>
      <c r="AC384" s="99"/>
      <c r="AD384" s="99">
        <f t="shared" si="57"/>
        <v>5782082.4699999997</v>
      </c>
      <c r="AE384" s="101"/>
      <c r="AF384" s="96">
        <v>2022</v>
      </c>
      <c r="AG384" s="96">
        <v>2022</v>
      </c>
    </row>
    <row r="385" spans="1:33" ht="84.9" hidden="1" customHeight="1" x14ac:dyDescent="0.45">
      <c r="A385" s="96">
        <v>365</v>
      </c>
      <c r="B385" s="96" t="s">
        <v>587</v>
      </c>
      <c r="C385" s="96" t="s">
        <v>262</v>
      </c>
      <c r="D385" s="96">
        <v>1978</v>
      </c>
      <c r="E385" s="96">
        <v>9</v>
      </c>
      <c r="F385" s="96">
        <v>2</v>
      </c>
      <c r="G385" s="97">
        <v>3908.3</v>
      </c>
      <c r="H385" s="97">
        <v>3908.3</v>
      </c>
      <c r="I385" s="97">
        <v>3878.4</v>
      </c>
      <c r="J385" s="96" t="s">
        <v>364</v>
      </c>
      <c r="K385" s="96" t="s">
        <v>365</v>
      </c>
      <c r="L385" s="96" t="s">
        <v>366</v>
      </c>
      <c r="M385" s="96"/>
      <c r="N385" s="99"/>
      <c r="O385" s="99"/>
      <c r="P385" s="99"/>
      <c r="Q385" s="99"/>
      <c r="R385" s="99"/>
      <c r="S385" s="99"/>
      <c r="T385" s="99"/>
      <c r="U385" s="99">
        <v>3702831.57</v>
      </c>
      <c r="V385" s="99"/>
      <c r="W385" s="99"/>
      <c r="X385" s="99"/>
      <c r="Y385" s="99"/>
      <c r="Z385" s="99">
        <v>151890.07999999999</v>
      </c>
      <c r="AA385" s="99">
        <f t="shared" si="58"/>
        <v>3854721.65</v>
      </c>
      <c r="AB385" s="99"/>
      <c r="AC385" s="99"/>
      <c r="AD385" s="99">
        <f t="shared" si="57"/>
        <v>3854721.65</v>
      </c>
      <c r="AE385" s="101"/>
      <c r="AF385" s="96">
        <v>2022</v>
      </c>
      <c r="AG385" s="96">
        <v>2022</v>
      </c>
    </row>
    <row r="386" spans="1:33" ht="84.9" hidden="1" customHeight="1" x14ac:dyDescent="0.45">
      <c r="A386" s="96">
        <v>366</v>
      </c>
      <c r="B386" s="96" t="s">
        <v>587</v>
      </c>
      <c r="C386" s="96" t="s">
        <v>263</v>
      </c>
      <c r="D386" s="96">
        <v>1979</v>
      </c>
      <c r="E386" s="96">
        <v>14</v>
      </c>
      <c r="F386" s="96">
        <v>1</v>
      </c>
      <c r="G386" s="97">
        <v>5621.8</v>
      </c>
      <c r="H386" s="97">
        <v>5621.8</v>
      </c>
      <c r="I386" s="97">
        <v>5621.8</v>
      </c>
      <c r="J386" s="96">
        <v>201</v>
      </c>
      <c r="K386" s="96" t="s">
        <v>365</v>
      </c>
      <c r="L386" s="96" t="s">
        <v>366</v>
      </c>
      <c r="M386" s="96"/>
      <c r="N386" s="99"/>
      <c r="O386" s="99"/>
      <c r="P386" s="99"/>
      <c r="Q386" s="99"/>
      <c r="R386" s="99"/>
      <c r="S386" s="99"/>
      <c r="T386" s="99"/>
      <c r="U386" s="99">
        <v>4351415.78</v>
      </c>
      <c r="V386" s="99"/>
      <c r="W386" s="99"/>
      <c r="X386" s="99"/>
      <c r="Y386" s="99"/>
      <c r="Z386" s="99">
        <v>175945.04</v>
      </c>
      <c r="AA386" s="99">
        <f t="shared" si="58"/>
        <v>4527360.82</v>
      </c>
      <c r="AB386" s="99"/>
      <c r="AC386" s="99"/>
      <c r="AD386" s="99">
        <f t="shared" si="57"/>
        <v>4527360.82</v>
      </c>
      <c r="AE386" s="101"/>
      <c r="AF386" s="96">
        <v>2022</v>
      </c>
      <c r="AG386" s="96">
        <v>2022</v>
      </c>
    </row>
    <row r="387" spans="1:33" ht="84.9" hidden="1" customHeight="1" x14ac:dyDescent="0.45">
      <c r="A387" s="96">
        <v>367</v>
      </c>
      <c r="B387" s="96" t="s">
        <v>587</v>
      </c>
      <c r="C387" s="96" t="s">
        <v>264</v>
      </c>
      <c r="D387" s="96">
        <v>1985</v>
      </c>
      <c r="E387" s="96">
        <v>14</v>
      </c>
      <c r="F387" s="96">
        <v>1</v>
      </c>
      <c r="G387" s="97">
        <v>5567</v>
      </c>
      <c r="H387" s="97">
        <v>5567</v>
      </c>
      <c r="I387" s="97">
        <v>5567</v>
      </c>
      <c r="J387" s="96">
        <v>196</v>
      </c>
      <c r="K387" s="96" t="s">
        <v>365</v>
      </c>
      <c r="L387" s="96" t="s">
        <v>366</v>
      </c>
      <c r="M387" s="96"/>
      <c r="N387" s="99"/>
      <c r="O387" s="99"/>
      <c r="P387" s="99"/>
      <c r="Q387" s="99"/>
      <c r="R387" s="99"/>
      <c r="S387" s="99"/>
      <c r="T387" s="99"/>
      <c r="U387" s="99">
        <v>4351415.78</v>
      </c>
      <c r="V387" s="99"/>
      <c r="W387" s="99"/>
      <c r="X387" s="99"/>
      <c r="Y387" s="99"/>
      <c r="Z387" s="99">
        <v>175945.04</v>
      </c>
      <c r="AA387" s="99">
        <f t="shared" si="58"/>
        <v>4527360.82</v>
      </c>
      <c r="AB387" s="99"/>
      <c r="AC387" s="99"/>
      <c r="AD387" s="99">
        <f t="shared" si="57"/>
        <v>4527360.82</v>
      </c>
      <c r="AE387" s="101"/>
      <c r="AF387" s="96">
        <v>2022</v>
      </c>
      <c r="AG387" s="96">
        <v>2022</v>
      </c>
    </row>
    <row r="388" spans="1:33" ht="84.9" hidden="1" customHeight="1" x14ac:dyDescent="0.45">
      <c r="A388" s="96">
        <v>368</v>
      </c>
      <c r="B388" s="96" t="s">
        <v>587</v>
      </c>
      <c r="C388" s="96" t="s">
        <v>437</v>
      </c>
      <c r="D388" s="96">
        <v>1959</v>
      </c>
      <c r="E388" s="96">
        <v>5</v>
      </c>
      <c r="F388" s="96">
        <v>4</v>
      </c>
      <c r="G388" s="96">
        <v>5285.7</v>
      </c>
      <c r="H388" s="96">
        <f>3731.6+1135.9</f>
        <v>4867.5</v>
      </c>
      <c r="I388" s="97" t="s">
        <v>364</v>
      </c>
      <c r="J388" s="96" t="s">
        <v>364</v>
      </c>
      <c r="K388" s="96" t="s">
        <v>365</v>
      </c>
      <c r="L388" s="96" t="s">
        <v>366</v>
      </c>
      <c r="M388" s="96"/>
      <c r="N388" s="99">
        <f>ROUND(H388*616.25*1.015,2)</f>
        <v>3044590.83</v>
      </c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>
        <v>805361.2</v>
      </c>
      <c r="AA388" s="99">
        <f>N388+Z388</f>
        <v>3849952.0300000003</v>
      </c>
      <c r="AB388" s="99">
        <f>AA388</f>
        <v>3849952.0300000003</v>
      </c>
      <c r="AC388" s="99"/>
      <c r="AD388" s="99"/>
      <c r="AE388" s="101"/>
      <c r="AF388" s="96">
        <v>2021</v>
      </c>
      <c r="AG388" s="96">
        <v>2022</v>
      </c>
    </row>
    <row r="389" spans="1:33" ht="84.9" hidden="1" customHeight="1" x14ac:dyDescent="0.45">
      <c r="A389" s="96">
        <v>369</v>
      </c>
      <c r="B389" s="96" t="s">
        <v>587</v>
      </c>
      <c r="C389" s="96" t="s">
        <v>439</v>
      </c>
      <c r="D389" s="96">
        <v>1949</v>
      </c>
      <c r="E389" s="96">
        <v>5</v>
      </c>
      <c r="F389" s="96">
        <v>3</v>
      </c>
      <c r="G389" s="102" t="s">
        <v>440</v>
      </c>
      <c r="H389" s="97">
        <v>2960.3</v>
      </c>
      <c r="I389" s="97" t="s">
        <v>364</v>
      </c>
      <c r="J389" s="96" t="s">
        <v>364</v>
      </c>
      <c r="K389" s="96" t="s">
        <v>365</v>
      </c>
      <c r="L389" s="96" t="s">
        <v>366</v>
      </c>
      <c r="M389" s="96"/>
      <c r="N389" s="99"/>
      <c r="O389" s="99"/>
      <c r="P389" s="99"/>
      <c r="Q389" s="99"/>
      <c r="R389" s="99"/>
      <c r="S389" s="99"/>
      <c r="T389" s="99"/>
      <c r="U389" s="99"/>
      <c r="V389" s="99">
        <f>ROUND(3727.29*H389*1.015,2)</f>
        <v>11199405.039999999</v>
      </c>
      <c r="W389" s="99"/>
      <c r="X389" s="99"/>
      <c r="Y389" s="99"/>
      <c r="Z389" s="99">
        <v>559881.46</v>
      </c>
      <c r="AA389" s="99">
        <f>SUM(V389+Z389)</f>
        <v>11759286.5</v>
      </c>
      <c r="AB389" s="99"/>
      <c r="AC389" s="99"/>
      <c r="AD389" s="99">
        <f t="shared" ref="AD389:AD394" si="59">SUM(N389:Z389)</f>
        <v>11759286.5</v>
      </c>
      <c r="AE389" s="101"/>
      <c r="AF389" s="96">
        <v>2020</v>
      </c>
      <c r="AG389" s="96">
        <v>2022</v>
      </c>
    </row>
    <row r="390" spans="1:33" ht="84.9" hidden="1" customHeight="1" x14ac:dyDescent="0.45">
      <c r="A390" s="96">
        <v>370</v>
      </c>
      <c r="B390" s="96" t="s">
        <v>587</v>
      </c>
      <c r="C390" s="96" t="s">
        <v>265</v>
      </c>
      <c r="D390" s="96">
        <v>1980</v>
      </c>
      <c r="E390" s="96">
        <v>9</v>
      </c>
      <c r="F390" s="96">
        <v>2</v>
      </c>
      <c r="G390" s="102">
        <v>3859</v>
      </c>
      <c r="H390" s="97">
        <v>3841.1</v>
      </c>
      <c r="I390" s="97">
        <v>3841.1</v>
      </c>
      <c r="J390" s="96">
        <v>169</v>
      </c>
      <c r="K390" s="96" t="s">
        <v>365</v>
      </c>
      <c r="L390" s="96" t="s">
        <v>366</v>
      </c>
      <c r="M390" s="96"/>
      <c r="N390" s="99"/>
      <c r="O390" s="99"/>
      <c r="P390" s="99"/>
      <c r="Q390" s="99"/>
      <c r="R390" s="99"/>
      <c r="S390" s="99"/>
      <c r="T390" s="99"/>
      <c r="U390" s="99">
        <v>3702831.57</v>
      </c>
      <c r="V390" s="99"/>
      <c r="W390" s="99"/>
      <c r="X390" s="99"/>
      <c r="Y390" s="99"/>
      <c r="Z390" s="99">
        <v>151890.07999999999</v>
      </c>
      <c r="AA390" s="99">
        <f t="shared" ref="AA390:AA392" si="60">SUM(U390+Z390)</f>
        <v>3854721.65</v>
      </c>
      <c r="AB390" s="99"/>
      <c r="AC390" s="99"/>
      <c r="AD390" s="99">
        <f t="shared" ref="AD390:AD392" si="61">AA390</f>
        <v>3854721.65</v>
      </c>
      <c r="AE390" s="101"/>
      <c r="AF390" s="96">
        <v>2022</v>
      </c>
      <c r="AG390" s="96">
        <v>2022</v>
      </c>
    </row>
    <row r="391" spans="1:33" ht="84.9" hidden="1" customHeight="1" x14ac:dyDescent="0.45">
      <c r="A391" s="96">
        <v>371</v>
      </c>
      <c r="B391" s="96" t="s">
        <v>587</v>
      </c>
      <c r="C391" s="96" t="s">
        <v>266</v>
      </c>
      <c r="D391" s="96">
        <v>1979</v>
      </c>
      <c r="E391" s="96">
        <v>9</v>
      </c>
      <c r="F391" s="96">
        <v>2</v>
      </c>
      <c r="G391" s="97">
        <v>6513.2</v>
      </c>
      <c r="H391" s="97">
        <v>6513.2</v>
      </c>
      <c r="I391" s="97">
        <v>6513.2</v>
      </c>
      <c r="J391" s="96">
        <v>340</v>
      </c>
      <c r="K391" s="96" t="s">
        <v>365</v>
      </c>
      <c r="L391" s="96" t="s">
        <v>366</v>
      </c>
      <c r="M391" s="96"/>
      <c r="N391" s="99"/>
      <c r="O391" s="99"/>
      <c r="P391" s="99"/>
      <c r="Q391" s="99"/>
      <c r="R391" s="99"/>
      <c r="S391" s="99"/>
      <c r="T391" s="99"/>
      <c r="U391" s="99">
        <v>3702831.57</v>
      </c>
      <c r="V391" s="99"/>
      <c r="W391" s="99"/>
      <c r="X391" s="99"/>
      <c r="Y391" s="99"/>
      <c r="Z391" s="99">
        <v>151890.07999999999</v>
      </c>
      <c r="AA391" s="99">
        <f t="shared" si="60"/>
        <v>3854721.65</v>
      </c>
      <c r="AB391" s="99"/>
      <c r="AC391" s="99"/>
      <c r="AD391" s="99">
        <f t="shared" si="61"/>
        <v>3854721.65</v>
      </c>
      <c r="AE391" s="101"/>
      <c r="AF391" s="96">
        <v>2022</v>
      </c>
      <c r="AG391" s="96">
        <v>2022</v>
      </c>
    </row>
    <row r="392" spans="1:33" ht="84.9" hidden="1" customHeight="1" x14ac:dyDescent="0.45">
      <c r="A392" s="96">
        <v>372</v>
      </c>
      <c r="B392" s="96" t="s">
        <v>587</v>
      </c>
      <c r="C392" s="96" t="s">
        <v>267</v>
      </c>
      <c r="D392" s="96">
        <v>1979</v>
      </c>
      <c r="E392" s="96">
        <v>9</v>
      </c>
      <c r="F392" s="96">
        <v>6</v>
      </c>
      <c r="G392" s="97">
        <v>19088.400000000001</v>
      </c>
      <c r="H392" s="97">
        <v>19088.400000000001</v>
      </c>
      <c r="I392" s="97">
        <v>19088.400000000001</v>
      </c>
      <c r="J392" s="96">
        <v>1035</v>
      </c>
      <c r="K392" s="96" t="s">
        <v>365</v>
      </c>
      <c r="L392" s="96" t="s">
        <v>366</v>
      </c>
      <c r="M392" s="96"/>
      <c r="N392" s="99"/>
      <c r="O392" s="99"/>
      <c r="P392" s="99"/>
      <c r="Q392" s="99"/>
      <c r="R392" s="99"/>
      <c r="S392" s="99"/>
      <c r="T392" s="99"/>
      <c r="U392" s="99">
        <v>11108494.710000001</v>
      </c>
      <c r="V392" s="99"/>
      <c r="W392" s="99"/>
      <c r="X392" s="99"/>
      <c r="Y392" s="99"/>
      <c r="Z392" s="99">
        <v>455670.24</v>
      </c>
      <c r="AA392" s="99">
        <f t="shared" si="60"/>
        <v>11564164.950000001</v>
      </c>
      <c r="AB392" s="99"/>
      <c r="AC392" s="99"/>
      <c r="AD392" s="99">
        <f t="shared" si="61"/>
        <v>11564164.950000001</v>
      </c>
      <c r="AE392" s="101"/>
      <c r="AF392" s="96">
        <v>2022</v>
      </c>
      <c r="AG392" s="96">
        <v>2022</v>
      </c>
    </row>
    <row r="393" spans="1:33" ht="84.9" hidden="1" customHeight="1" x14ac:dyDescent="0.45">
      <c r="A393" s="96">
        <v>373</v>
      </c>
      <c r="B393" s="96" t="s">
        <v>587</v>
      </c>
      <c r="C393" s="96" t="s">
        <v>441</v>
      </c>
      <c r="D393" s="96">
        <v>1960</v>
      </c>
      <c r="E393" s="96">
        <v>2</v>
      </c>
      <c r="F393" s="96">
        <v>2</v>
      </c>
      <c r="G393" s="102" t="s">
        <v>443</v>
      </c>
      <c r="H393" s="97">
        <v>525.6</v>
      </c>
      <c r="I393" s="97" t="s">
        <v>364</v>
      </c>
      <c r="J393" s="96" t="s">
        <v>364</v>
      </c>
      <c r="K393" s="96" t="s">
        <v>371</v>
      </c>
      <c r="L393" s="96" t="s">
        <v>366</v>
      </c>
      <c r="M393" s="96"/>
      <c r="N393" s="99"/>
      <c r="O393" s="99"/>
      <c r="P393" s="99"/>
      <c r="Q393" s="99"/>
      <c r="R393" s="99"/>
      <c r="S393" s="99"/>
      <c r="T393" s="99"/>
      <c r="U393" s="99"/>
      <c r="V393" s="99">
        <f>ROUND(8645.31*H393*1.015,2)</f>
        <v>4612134.5599999996</v>
      </c>
      <c r="W393" s="99"/>
      <c r="X393" s="99"/>
      <c r="Y393" s="99"/>
      <c r="Z393" s="99">
        <v>157120.85</v>
      </c>
      <c r="AA393" s="99">
        <f>SUM(V393+Z393)</f>
        <v>4769255.4099999992</v>
      </c>
      <c r="AB393" s="99"/>
      <c r="AC393" s="99"/>
      <c r="AD393" s="99">
        <f t="shared" si="59"/>
        <v>4769255.4099999992</v>
      </c>
      <c r="AE393" s="101"/>
      <c r="AF393" s="96">
        <v>2020</v>
      </c>
      <c r="AG393" s="96">
        <v>2022</v>
      </c>
    </row>
    <row r="394" spans="1:33" ht="84.9" hidden="1" customHeight="1" x14ac:dyDescent="0.45">
      <c r="A394" s="96">
        <v>374</v>
      </c>
      <c r="B394" s="96" t="s">
        <v>587</v>
      </c>
      <c r="C394" s="96" t="s">
        <v>444</v>
      </c>
      <c r="D394" s="96">
        <v>1950</v>
      </c>
      <c r="E394" s="96">
        <v>4</v>
      </c>
      <c r="F394" s="96">
        <v>3</v>
      </c>
      <c r="G394" s="97">
        <v>2576</v>
      </c>
      <c r="H394" s="97">
        <f>1999.8+356.2</f>
        <v>2356</v>
      </c>
      <c r="I394" s="97">
        <v>1416.2</v>
      </c>
      <c r="J394" s="96" t="s">
        <v>364</v>
      </c>
      <c r="K394" s="96" t="s">
        <v>365</v>
      </c>
      <c r="L394" s="96" t="s">
        <v>366</v>
      </c>
      <c r="M394" s="96"/>
      <c r="N394" s="99">
        <f>ROUND(H394*616.25*1.015,2)</f>
        <v>1473663.28</v>
      </c>
      <c r="O394" s="99">
        <f>ROUND(H394*871.5*1.015,2)</f>
        <v>2084052.81</v>
      </c>
      <c r="P394" s="99">
        <f>ROUND(H394*596.38*1.015,2)</f>
        <v>1426147.35</v>
      </c>
      <c r="Q394" s="99">
        <f>ROUND(H394*589.88*1.015,2)</f>
        <v>1410603.64</v>
      </c>
      <c r="R394" s="99"/>
      <c r="S394" s="99">
        <f>ROUND(H394*1074.75*1.015,2)</f>
        <v>2570092.67</v>
      </c>
      <c r="T394" s="99"/>
      <c r="U394" s="99"/>
      <c r="V394" s="99"/>
      <c r="W394" s="99"/>
      <c r="X394" s="99"/>
      <c r="Y394" s="99"/>
      <c r="Z394" s="99">
        <v>557819.36</v>
      </c>
      <c r="AA394" s="99">
        <f t="shared" ref="AA394:AA405" si="62">SUM(N394:Z394)</f>
        <v>9522379.1099999994</v>
      </c>
      <c r="AB394" s="99"/>
      <c r="AC394" s="99"/>
      <c r="AD394" s="99">
        <f t="shared" si="59"/>
        <v>9522379.1099999994</v>
      </c>
      <c r="AE394" s="101"/>
      <c r="AF394" s="96">
        <v>2020</v>
      </c>
      <c r="AG394" s="96">
        <v>2022</v>
      </c>
    </row>
    <row r="395" spans="1:33" ht="84.9" hidden="1" customHeight="1" x14ac:dyDescent="0.45">
      <c r="A395" s="96">
        <v>375</v>
      </c>
      <c r="B395" s="96" t="s">
        <v>587</v>
      </c>
      <c r="C395" s="96" t="s">
        <v>268</v>
      </c>
      <c r="D395" s="96">
        <v>1940</v>
      </c>
      <c r="E395" s="96">
        <v>6</v>
      </c>
      <c r="F395" s="96">
        <v>6</v>
      </c>
      <c r="G395" s="102">
        <v>10130</v>
      </c>
      <c r="H395" s="97">
        <v>9208.5</v>
      </c>
      <c r="I395" s="96" t="s">
        <v>364</v>
      </c>
      <c r="J395" s="96">
        <v>181</v>
      </c>
      <c r="K395" s="96" t="s">
        <v>423</v>
      </c>
      <c r="L395" s="96" t="s">
        <v>425</v>
      </c>
      <c r="M395" s="96"/>
      <c r="N395" s="99"/>
      <c r="O395" s="99"/>
      <c r="P395" s="99"/>
      <c r="Q395" s="99"/>
      <c r="R395" s="99"/>
      <c r="S395" s="99"/>
      <c r="T395" s="99"/>
      <c r="U395" s="99"/>
      <c r="V395" s="99">
        <v>36033024.869999997</v>
      </c>
      <c r="W395" s="99"/>
      <c r="X395" s="99">
        <v>32111179.969999999</v>
      </c>
      <c r="Y395" s="99"/>
      <c r="Z395" s="99">
        <v>2485036.2000000002</v>
      </c>
      <c r="AA395" s="99">
        <f t="shared" si="62"/>
        <v>70629241.040000007</v>
      </c>
      <c r="AB395" s="99">
        <f t="shared" ref="AB395:AB402" si="63">SUM(O395:Z395)</f>
        <v>70629241.040000007</v>
      </c>
      <c r="AC395" s="99"/>
      <c r="AD395" s="99"/>
      <c r="AE395" s="101"/>
      <c r="AF395" s="96">
        <v>2022</v>
      </c>
      <c r="AG395" s="96">
        <v>2023</v>
      </c>
    </row>
    <row r="396" spans="1:33" ht="126.75" hidden="1" customHeight="1" x14ac:dyDescent="0.45">
      <c r="A396" s="96">
        <v>376</v>
      </c>
      <c r="B396" s="96" t="s">
        <v>587</v>
      </c>
      <c r="C396" s="96" t="s">
        <v>269</v>
      </c>
      <c r="D396" s="96">
        <v>1961</v>
      </c>
      <c r="E396" s="96">
        <v>5</v>
      </c>
      <c r="F396" s="96">
        <v>7</v>
      </c>
      <c r="G396" s="97">
        <v>8701</v>
      </c>
      <c r="H396" s="97">
        <v>7971.7</v>
      </c>
      <c r="I396" s="97" t="s">
        <v>364</v>
      </c>
      <c r="J396" s="96" t="s">
        <v>364</v>
      </c>
      <c r="K396" s="96" t="s">
        <v>365</v>
      </c>
      <c r="L396" s="96" t="s">
        <v>449</v>
      </c>
      <c r="M396" s="96"/>
      <c r="N396" s="99"/>
      <c r="O396" s="99"/>
      <c r="P396" s="99"/>
      <c r="Q396" s="99"/>
      <c r="R396" s="99"/>
      <c r="S396" s="99"/>
      <c r="T396" s="99"/>
      <c r="U396" s="99"/>
      <c r="V396" s="99">
        <v>31193404.390000001</v>
      </c>
      <c r="W396" s="99"/>
      <c r="X396" s="99"/>
      <c r="Y396" s="99"/>
      <c r="Z396" s="99">
        <v>2151269.27</v>
      </c>
      <c r="AA396" s="99">
        <f t="shared" si="62"/>
        <v>33344673.66</v>
      </c>
      <c r="AB396" s="99">
        <f t="shared" si="63"/>
        <v>33344673.66</v>
      </c>
      <c r="AC396" s="99"/>
      <c r="AD396" s="99"/>
      <c r="AE396" s="101"/>
      <c r="AF396" s="96">
        <v>2022</v>
      </c>
      <c r="AG396" s="96">
        <v>2023</v>
      </c>
    </row>
    <row r="397" spans="1:33" ht="84.9" hidden="1" customHeight="1" x14ac:dyDescent="0.45">
      <c r="A397" s="96">
        <v>377</v>
      </c>
      <c r="B397" s="96" t="s">
        <v>587</v>
      </c>
      <c r="C397" s="96" t="s">
        <v>270</v>
      </c>
      <c r="D397" s="96">
        <v>1959</v>
      </c>
      <c r="E397" s="96">
        <v>5</v>
      </c>
      <c r="F397" s="96">
        <v>5</v>
      </c>
      <c r="G397" s="97">
        <v>6587.7</v>
      </c>
      <c r="H397" s="97">
        <v>5994.9</v>
      </c>
      <c r="I397" s="97" t="s">
        <v>364</v>
      </c>
      <c r="J397" s="96" t="s">
        <v>364</v>
      </c>
      <c r="K397" s="96" t="s">
        <v>365</v>
      </c>
      <c r="L397" s="96" t="s">
        <v>366</v>
      </c>
      <c r="M397" s="96"/>
      <c r="N397" s="99"/>
      <c r="O397" s="99"/>
      <c r="P397" s="99"/>
      <c r="Q397" s="99"/>
      <c r="R397" s="99"/>
      <c r="S397" s="99"/>
      <c r="T397" s="99"/>
      <c r="U397" s="99"/>
      <c r="V397" s="99">
        <v>23458150.710000001</v>
      </c>
      <c r="W397" s="99"/>
      <c r="X397" s="99"/>
      <c r="Y397" s="99"/>
      <c r="Z397" s="99">
        <v>1617803.5</v>
      </c>
      <c r="AA397" s="99">
        <f t="shared" si="62"/>
        <v>25075954.210000001</v>
      </c>
      <c r="AB397" s="99">
        <f t="shared" si="63"/>
        <v>25075954.210000001</v>
      </c>
      <c r="AC397" s="99"/>
      <c r="AD397" s="99"/>
      <c r="AE397" s="101"/>
      <c r="AF397" s="96">
        <v>2022</v>
      </c>
      <c r="AG397" s="96">
        <v>2023</v>
      </c>
    </row>
    <row r="398" spans="1:33" ht="84.9" hidden="1" customHeight="1" x14ac:dyDescent="0.45">
      <c r="A398" s="96">
        <v>378</v>
      </c>
      <c r="B398" s="96" t="s">
        <v>587</v>
      </c>
      <c r="C398" s="96" t="s">
        <v>271</v>
      </c>
      <c r="D398" s="96">
        <v>1938</v>
      </c>
      <c r="E398" s="96">
        <v>4</v>
      </c>
      <c r="F398" s="96">
        <v>2</v>
      </c>
      <c r="G398" s="97">
        <v>1831.9</v>
      </c>
      <c r="H398" s="97">
        <v>1831.9</v>
      </c>
      <c r="I398" s="97" t="s">
        <v>364</v>
      </c>
      <c r="J398" s="96">
        <v>24</v>
      </c>
      <c r="K398" s="96" t="s">
        <v>365</v>
      </c>
      <c r="L398" s="96" t="s">
        <v>366</v>
      </c>
      <c r="M398" s="96"/>
      <c r="N398" s="99"/>
      <c r="O398" s="99"/>
      <c r="P398" s="99"/>
      <c r="Q398" s="99"/>
      <c r="R398" s="99"/>
      <c r="S398" s="99"/>
      <c r="T398" s="99"/>
      <c r="U398" s="99"/>
      <c r="V398" s="99">
        <v>11110400.130000001</v>
      </c>
      <c r="W398" s="99"/>
      <c r="X398" s="99"/>
      <c r="Y398" s="99"/>
      <c r="Z398" s="99">
        <v>766234.49</v>
      </c>
      <c r="AA398" s="99">
        <f t="shared" si="62"/>
        <v>11876634.620000001</v>
      </c>
      <c r="AB398" s="99">
        <f t="shared" si="63"/>
        <v>11876634.620000001</v>
      </c>
      <c r="AC398" s="99"/>
      <c r="AD398" s="99"/>
      <c r="AE398" s="101"/>
      <c r="AF398" s="96">
        <v>2022</v>
      </c>
      <c r="AG398" s="96">
        <v>2023</v>
      </c>
    </row>
    <row r="399" spans="1:33" ht="84.9" hidden="1" customHeight="1" x14ac:dyDescent="0.45">
      <c r="A399" s="96">
        <v>379</v>
      </c>
      <c r="B399" s="96" t="s">
        <v>587</v>
      </c>
      <c r="C399" s="96" t="s">
        <v>272</v>
      </c>
      <c r="D399" s="96">
        <v>1933</v>
      </c>
      <c r="E399" s="96">
        <v>5</v>
      </c>
      <c r="F399" s="96">
        <v>6</v>
      </c>
      <c r="G399" s="97">
        <v>5727.1</v>
      </c>
      <c r="H399" s="97">
        <v>5727.1</v>
      </c>
      <c r="I399" s="97" t="s">
        <v>364</v>
      </c>
      <c r="J399" s="96">
        <v>82</v>
      </c>
      <c r="K399" s="96" t="s">
        <v>365</v>
      </c>
      <c r="L399" s="96" t="s">
        <v>366</v>
      </c>
      <c r="M399" s="96" t="s">
        <v>415</v>
      </c>
      <c r="N399" s="99"/>
      <c r="O399" s="99"/>
      <c r="P399" s="99"/>
      <c r="Q399" s="99"/>
      <c r="R399" s="99"/>
      <c r="S399" s="99"/>
      <c r="T399" s="99"/>
      <c r="U399" s="99"/>
      <c r="V399" s="99">
        <v>28460421.690000001</v>
      </c>
      <c r="W399" s="99"/>
      <c r="X399" s="99"/>
      <c r="Y399" s="99"/>
      <c r="Z399" s="99">
        <v>1962787.7</v>
      </c>
      <c r="AA399" s="99">
        <f t="shared" si="62"/>
        <v>30423209.390000001</v>
      </c>
      <c r="AB399" s="99">
        <f t="shared" si="63"/>
        <v>30423209.390000001</v>
      </c>
      <c r="AC399" s="99"/>
      <c r="AD399" s="99"/>
      <c r="AE399" s="101"/>
      <c r="AF399" s="96">
        <v>2022</v>
      </c>
      <c r="AG399" s="96">
        <v>2023</v>
      </c>
    </row>
    <row r="400" spans="1:33" ht="84.9" hidden="1" customHeight="1" x14ac:dyDescent="0.45">
      <c r="A400" s="96">
        <v>380</v>
      </c>
      <c r="B400" s="96" t="s">
        <v>587</v>
      </c>
      <c r="C400" s="96" t="s">
        <v>273</v>
      </c>
      <c r="D400" s="96">
        <v>1975</v>
      </c>
      <c r="E400" s="96">
        <v>6</v>
      </c>
      <c r="F400" s="96">
        <v>8</v>
      </c>
      <c r="G400" s="97">
        <v>5841.2</v>
      </c>
      <c r="H400" s="97">
        <v>5841.2</v>
      </c>
      <c r="I400" s="97" t="s">
        <v>364</v>
      </c>
      <c r="J400" s="96">
        <v>182</v>
      </c>
      <c r="K400" s="96" t="s">
        <v>365</v>
      </c>
      <c r="L400" s="96" t="s">
        <v>366</v>
      </c>
      <c r="M400" s="96"/>
      <c r="N400" s="99"/>
      <c r="O400" s="99"/>
      <c r="P400" s="99"/>
      <c r="Q400" s="99"/>
      <c r="R400" s="99"/>
      <c r="S400" s="99"/>
      <c r="T400" s="99"/>
      <c r="U400" s="99"/>
      <c r="V400" s="99">
        <v>22098424.039999999</v>
      </c>
      <c r="W400" s="99"/>
      <c r="X400" s="99">
        <v>20368987.829999998</v>
      </c>
      <c r="Y400" s="99"/>
      <c r="Z400" s="99">
        <v>2928787.03</v>
      </c>
      <c r="AA400" s="99">
        <f t="shared" si="62"/>
        <v>45396198.899999999</v>
      </c>
      <c r="AB400" s="99">
        <f t="shared" si="63"/>
        <v>45396198.899999999</v>
      </c>
      <c r="AC400" s="99"/>
      <c r="AD400" s="99"/>
      <c r="AE400" s="101"/>
      <c r="AF400" s="96">
        <v>2022</v>
      </c>
      <c r="AG400" s="96">
        <v>2023</v>
      </c>
    </row>
    <row r="401" spans="1:33" ht="84.9" hidden="1" customHeight="1" x14ac:dyDescent="0.45">
      <c r="A401" s="96">
        <v>381</v>
      </c>
      <c r="B401" s="96" t="s">
        <v>587</v>
      </c>
      <c r="C401" s="96" t="s">
        <v>274</v>
      </c>
      <c r="D401" s="96">
        <v>1935</v>
      </c>
      <c r="E401" s="96">
        <v>5</v>
      </c>
      <c r="F401" s="96">
        <v>10</v>
      </c>
      <c r="G401" s="97">
        <v>6125.2</v>
      </c>
      <c r="H401" s="97">
        <v>6125.2</v>
      </c>
      <c r="I401" s="97" t="s">
        <v>364</v>
      </c>
      <c r="J401" s="96">
        <v>163</v>
      </c>
      <c r="K401" s="96" t="s">
        <v>365</v>
      </c>
      <c r="L401" s="96" t="s">
        <v>366</v>
      </c>
      <c r="M401" s="96" t="s">
        <v>415</v>
      </c>
      <c r="N401" s="99"/>
      <c r="O401" s="99"/>
      <c r="P401" s="99"/>
      <c r="Q401" s="99"/>
      <c r="R401" s="99"/>
      <c r="S401" s="99"/>
      <c r="T401" s="99"/>
      <c r="U401" s="99"/>
      <c r="V401" s="99">
        <v>30438751.719999999</v>
      </c>
      <c r="W401" s="99"/>
      <c r="X401" s="99">
        <v>54179907.479999997</v>
      </c>
      <c r="Y401" s="99"/>
      <c r="Z401" s="99">
        <v>5835769.5999999996</v>
      </c>
      <c r="AA401" s="99">
        <f t="shared" si="62"/>
        <v>90454428.799999982</v>
      </c>
      <c r="AB401" s="99">
        <f t="shared" si="63"/>
        <v>90454428.799999982</v>
      </c>
      <c r="AC401" s="99"/>
      <c r="AD401" s="99"/>
      <c r="AE401" s="101"/>
      <c r="AF401" s="96">
        <v>2022</v>
      </c>
      <c r="AG401" s="96">
        <v>2023</v>
      </c>
    </row>
    <row r="402" spans="1:33" ht="84.9" hidden="1" customHeight="1" x14ac:dyDescent="0.45">
      <c r="A402" s="96">
        <v>382</v>
      </c>
      <c r="B402" s="96" t="s">
        <v>587</v>
      </c>
      <c r="C402" s="96" t="s">
        <v>275</v>
      </c>
      <c r="D402" s="96">
        <v>1939</v>
      </c>
      <c r="E402" s="96">
        <v>7</v>
      </c>
      <c r="F402" s="96">
        <v>8</v>
      </c>
      <c r="G402" s="97">
        <v>8890.4</v>
      </c>
      <c r="H402" s="97">
        <v>8890.4</v>
      </c>
      <c r="I402" s="97" t="s">
        <v>364</v>
      </c>
      <c r="J402" s="96">
        <v>114</v>
      </c>
      <c r="K402" s="96" t="s">
        <v>365</v>
      </c>
      <c r="L402" s="96" t="s">
        <v>366</v>
      </c>
      <c r="M402" s="96" t="s">
        <v>415</v>
      </c>
      <c r="N402" s="99"/>
      <c r="O402" s="99"/>
      <c r="P402" s="99"/>
      <c r="Q402" s="99"/>
      <c r="R402" s="99"/>
      <c r="S402" s="99"/>
      <c r="T402" s="99"/>
      <c r="U402" s="99"/>
      <c r="V402" s="99">
        <v>40927606.289999999</v>
      </c>
      <c r="W402" s="99"/>
      <c r="X402" s="99"/>
      <c r="Y402" s="99"/>
      <c r="Z402" s="99">
        <v>2822593.54</v>
      </c>
      <c r="AA402" s="99">
        <f t="shared" si="62"/>
        <v>43750199.829999998</v>
      </c>
      <c r="AB402" s="99">
        <f t="shared" si="63"/>
        <v>43750199.829999998</v>
      </c>
      <c r="AC402" s="99"/>
      <c r="AD402" s="99"/>
      <c r="AE402" s="101"/>
      <c r="AF402" s="96">
        <v>2022</v>
      </c>
      <c r="AG402" s="96">
        <v>2023</v>
      </c>
    </row>
    <row r="403" spans="1:33" ht="84.9" hidden="1" customHeight="1" x14ac:dyDescent="0.45">
      <c r="A403" s="96">
        <v>383</v>
      </c>
      <c r="B403" s="96" t="s">
        <v>587</v>
      </c>
      <c r="C403" s="96" t="s">
        <v>276</v>
      </c>
      <c r="D403" s="96">
        <v>1950</v>
      </c>
      <c r="E403" s="96" t="s">
        <v>848</v>
      </c>
      <c r="F403" s="96">
        <v>6</v>
      </c>
      <c r="G403" s="96">
        <v>10110</v>
      </c>
      <c r="H403" s="96">
        <f>6512.7+2588.9</f>
        <v>9101.6</v>
      </c>
      <c r="I403" s="96">
        <v>6521.7</v>
      </c>
      <c r="J403" s="96">
        <v>179</v>
      </c>
      <c r="K403" s="96" t="s">
        <v>365</v>
      </c>
      <c r="L403" s="96" t="s">
        <v>849</v>
      </c>
      <c r="M403" s="101" t="s">
        <v>415</v>
      </c>
      <c r="N403" s="99"/>
      <c r="O403" s="99"/>
      <c r="P403" s="99"/>
      <c r="Q403" s="99"/>
      <c r="R403" s="99"/>
      <c r="S403" s="99"/>
      <c r="T403" s="99"/>
      <c r="U403" s="99"/>
      <c r="V403" s="99">
        <v>28805117.300000001</v>
      </c>
      <c r="W403" s="99"/>
      <c r="X403" s="99">
        <v>54587705.189999998</v>
      </c>
      <c r="Y403" s="99"/>
      <c r="Z403" s="99">
        <v>1986559.81</v>
      </c>
      <c r="AA403" s="99">
        <f t="shared" si="62"/>
        <v>85379382.299999997</v>
      </c>
      <c r="AB403" s="99">
        <f>V403+X403+Z403</f>
        <v>85379382.299999997</v>
      </c>
      <c r="AC403" s="99"/>
      <c r="AD403" s="99"/>
      <c r="AE403" s="101"/>
      <c r="AF403" s="96">
        <v>2022</v>
      </c>
      <c r="AG403" s="96">
        <v>2023</v>
      </c>
    </row>
    <row r="404" spans="1:33" ht="84.9" hidden="1" customHeight="1" x14ac:dyDescent="0.45">
      <c r="A404" s="96">
        <v>384</v>
      </c>
      <c r="B404" s="96" t="s">
        <v>587</v>
      </c>
      <c r="C404" s="96" t="s">
        <v>277</v>
      </c>
      <c r="D404" s="96">
        <v>1937</v>
      </c>
      <c r="E404" s="96">
        <v>5</v>
      </c>
      <c r="F404" s="96">
        <v>5</v>
      </c>
      <c r="G404" s="102">
        <v>3925.7</v>
      </c>
      <c r="H404" s="97">
        <v>3557.1</v>
      </c>
      <c r="I404" s="96" t="s">
        <v>364</v>
      </c>
      <c r="J404" s="96" t="s">
        <v>364</v>
      </c>
      <c r="K404" s="96" t="s">
        <v>365</v>
      </c>
      <c r="L404" s="96" t="s">
        <v>366</v>
      </c>
      <c r="M404" s="96" t="s">
        <v>415</v>
      </c>
      <c r="N404" s="99"/>
      <c r="O404" s="99"/>
      <c r="P404" s="99"/>
      <c r="Q404" s="99"/>
      <c r="R404" s="99"/>
      <c r="S404" s="99"/>
      <c r="T404" s="99"/>
      <c r="U404" s="99"/>
      <c r="V404" s="99">
        <v>17676758.920000002</v>
      </c>
      <c r="W404" s="99"/>
      <c r="X404" s="99">
        <v>31464009.16</v>
      </c>
      <c r="Y404" s="99"/>
      <c r="Z404" s="99">
        <v>0</v>
      </c>
      <c r="AA404" s="99">
        <f t="shared" si="62"/>
        <v>49140768.079999998</v>
      </c>
      <c r="AB404" s="99">
        <f>SUM(O404:Z404)</f>
        <v>49140768.079999998</v>
      </c>
      <c r="AC404" s="99"/>
      <c r="AD404" s="99"/>
      <c r="AE404" s="101"/>
      <c r="AF404" s="96">
        <v>2022</v>
      </c>
      <c r="AG404" s="96">
        <v>2023</v>
      </c>
    </row>
    <row r="405" spans="1:33" ht="84.9" hidden="1" customHeight="1" x14ac:dyDescent="0.45">
      <c r="A405" s="96">
        <v>385</v>
      </c>
      <c r="B405" s="96" t="s">
        <v>587</v>
      </c>
      <c r="C405" s="96" t="s">
        <v>278</v>
      </c>
      <c r="D405" s="96">
        <v>1934</v>
      </c>
      <c r="E405" s="96">
        <v>5</v>
      </c>
      <c r="F405" s="96">
        <v>5</v>
      </c>
      <c r="G405" s="102">
        <v>4540</v>
      </c>
      <c r="H405" s="97">
        <v>4140.2</v>
      </c>
      <c r="I405" s="96" t="s">
        <v>364</v>
      </c>
      <c r="J405" s="96" t="s">
        <v>364</v>
      </c>
      <c r="K405" s="96" t="s">
        <v>365</v>
      </c>
      <c r="L405" s="96" t="s">
        <v>366</v>
      </c>
      <c r="M405" s="96" t="s">
        <v>415</v>
      </c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>
        <v>36621767.93</v>
      </c>
      <c r="Y405" s="99"/>
      <c r="Z405" s="99">
        <v>0</v>
      </c>
      <c r="AA405" s="99">
        <f t="shared" si="62"/>
        <v>36621767.93</v>
      </c>
      <c r="AB405" s="99">
        <f t="shared" ref="AB405:AB409" si="64">AA405</f>
        <v>36621767.93</v>
      </c>
      <c r="AC405" s="99"/>
      <c r="AD405" s="99"/>
      <c r="AE405" s="101"/>
      <c r="AF405" s="96">
        <v>2022</v>
      </c>
      <c r="AG405" s="96">
        <v>2023</v>
      </c>
    </row>
    <row r="406" spans="1:33" ht="84.9" hidden="1" customHeight="1" x14ac:dyDescent="0.45">
      <c r="A406" s="96">
        <v>386</v>
      </c>
      <c r="B406" s="96" t="s">
        <v>587</v>
      </c>
      <c r="C406" s="96" t="s">
        <v>279</v>
      </c>
      <c r="D406" s="96">
        <v>1934</v>
      </c>
      <c r="E406" s="96">
        <v>5</v>
      </c>
      <c r="F406" s="96">
        <v>4</v>
      </c>
      <c r="G406" s="97">
        <v>3781</v>
      </c>
      <c r="H406" s="97">
        <v>3781</v>
      </c>
      <c r="I406" s="96" t="s">
        <v>364</v>
      </c>
      <c r="J406" s="96" t="s">
        <v>364</v>
      </c>
      <c r="K406" s="96" t="s">
        <v>460</v>
      </c>
      <c r="L406" s="96" t="s">
        <v>366</v>
      </c>
      <c r="M406" s="96" t="s">
        <v>415</v>
      </c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>
        <v>27135753.600000001</v>
      </c>
      <c r="Y406" s="99"/>
      <c r="Z406" s="99">
        <v>1871431.28</v>
      </c>
      <c r="AA406" s="99">
        <f>SUM(N406+O406+P406+Q406+R406+S406+T406+U406+V406+W406+X406+Y406+Z406)</f>
        <v>29007184.880000003</v>
      </c>
      <c r="AB406" s="99">
        <f t="shared" si="64"/>
        <v>29007184.880000003</v>
      </c>
      <c r="AC406" s="99"/>
      <c r="AD406" s="99"/>
      <c r="AE406" s="101"/>
      <c r="AF406" s="96">
        <v>2022</v>
      </c>
      <c r="AG406" s="96">
        <v>2023</v>
      </c>
    </row>
    <row r="407" spans="1:33" ht="84.9" hidden="1" customHeight="1" x14ac:dyDescent="0.45">
      <c r="A407" s="96">
        <v>387</v>
      </c>
      <c r="B407" s="96" t="s">
        <v>587</v>
      </c>
      <c r="C407" s="96" t="s">
        <v>280</v>
      </c>
      <c r="D407" s="96">
        <v>1951</v>
      </c>
      <c r="E407" s="96">
        <v>6</v>
      </c>
      <c r="F407" s="96">
        <v>8</v>
      </c>
      <c r="G407" s="102">
        <v>9341.4</v>
      </c>
      <c r="H407" s="97">
        <v>9391.4</v>
      </c>
      <c r="I407" s="96">
        <v>6592.9</v>
      </c>
      <c r="J407" s="96">
        <v>167</v>
      </c>
      <c r="K407" s="96" t="s">
        <v>365</v>
      </c>
      <c r="L407" s="96" t="s">
        <v>366</v>
      </c>
      <c r="M407" s="96" t="s">
        <v>415</v>
      </c>
      <c r="N407" s="99"/>
      <c r="O407" s="99"/>
      <c r="P407" s="99"/>
      <c r="Q407" s="99"/>
      <c r="R407" s="99"/>
      <c r="S407" s="99"/>
      <c r="T407" s="99"/>
      <c r="U407" s="99"/>
      <c r="V407" s="99">
        <v>29722288.239999998</v>
      </c>
      <c r="W407" s="99">
        <v>2224781.42</v>
      </c>
      <c r="X407" s="99">
        <v>54101026.630000003</v>
      </c>
      <c r="Y407" s="99"/>
      <c r="Z407" s="99">
        <v>0</v>
      </c>
      <c r="AA407" s="99">
        <f>SUM(N407+O407+P407+Q407+R407+S407+T407+U407+V407+W407+X407+Y407+Z407)</f>
        <v>86048096.289999992</v>
      </c>
      <c r="AB407" s="99">
        <f t="shared" si="64"/>
        <v>86048096.289999992</v>
      </c>
      <c r="AC407" s="99"/>
      <c r="AD407" s="99"/>
      <c r="AE407" s="101"/>
      <c r="AF407" s="96">
        <v>2022</v>
      </c>
      <c r="AG407" s="96">
        <v>2023</v>
      </c>
    </row>
    <row r="408" spans="1:33" ht="84.9" hidden="1" customHeight="1" x14ac:dyDescent="0.45">
      <c r="A408" s="96">
        <v>388</v>
      </c>
      <c r="B408" s="96" t="s">
        <v>587</v>
      </c>
      <c r="C408" s="96" t="s">
        <v>281</v>
      </c>
      <c r="D408" s="96">
        <v>1997</v>
      </c>
      <c r="E408" s="96" t="s">
        <v>465</v>
      </c>
      <c r="F408" s="96" t="s">
        <v>466</v>
      </c>
      <c r="G408" s="97">
        <v>8087.1</v>
      </c>
      <c r="H408" s="97">
        <v>8087.1</v>
      </c>
      <c r="I408" s="97">
        <v>8087.1</v>
      </c>
      <c r="J408" s="96">
        <v>216</v>
      </c>
      <c r="K408" s="96" t="s">
        <v>365</v>
      </c>
      <c r="L408" s="96" t="s">
        <v>366</v>
      </c>
      <c r="M408" s="96"/>
      <c r="N408" s="99"/>
      <c r="O408" s="99">
        <v>4754302.4800000004</v>
      </c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>
        <v>248000</v>
      </c>
      <c r="AA408" s="99">
        <f t="shared" ref="AA408:AA410" si="65">SUM(O408+Z408)</f>
        <v>5002302.4800000004</v>
      </c>
      <c r="AB408" s="99">
        <f t="shared" si="64"/>
        <v>5002302.4800000004</v>
      </c>
      <c r="AC408" s="99"/>
      <c r="AD408" s="99"/>
      <c r="AE408" s="101"/>
      <c r="AF408" s="96">
        <v>2022</v>
      </c>
      <c r="AG408" s="96">
        <v>2022</v>
      </c>
    </row>
    <row r="409" spans="1:33" ht="84.9" hidden="1" customHeight="1" x14ac:dyDescent="0.45">
      <c r="A409" s="96">
        <v>389</v>
      </c>
      <c r="B409" s="96" t="s">
        <v>587</v>
      </c>
      <c r="C409" s="96" t="s">
        <v>282</v>
      </c>
      <c r="D409" s="96">
        <v>1994</v>
      </c>
      <c r="E409" s="96">
        <v>10</v>
      </c>
      <c r="F409" s="96">
        <v>1</v>
      </c>
      <c r="G409" s="97">
        <v>2475.1999999999998</v>
      </c>
      <c r="H409" s="97">
        <v>2457.9</v>
      </c>
      <c r="I409" s="97">
        <v>2457.9</v>
      </c>
      <c r="J409" s="96">
        <v>81</v>
      </c>
      <c r="K409" s="96" t="s">
        <v>365</v>
      </c>
      <c r="L409" s="96" t="s">
        <v>366</v>
      </c>
      <c r="M409" s="96"/>
      <c r="N409" s="99"/>
      <c r="O409" s="99">
        <v>4754302.4800000004</v>
      </c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>
        <v>248000</v>
      </c>
      <c r="AA409" s="99">
        <f t="shared" si="65"/>
        <v>5002302.4800000004</v>
      </c>
      <c r="AB409" s="99">
        <f t="shared" si="64"/>
        <v>5002302.4800000004</v>
      </c>
      <c r="AC409" s="99"/>
      <c r="AD409" s="99"/>
      <c r="AE409" s="101"/>
      <c r="AF409" s="96">
        <v>2022</v>
      </c>
      <c r="AG409" s="96">
        <v>2022</v>
      </c>
    </row>
    <row r="410" spans="1:33" ht="84.9" hidden="1" customHeight="1" x14ac:dyDescent="0.45">
      <c r="A410" s="96">
        <v>390</v>
      </c>
      <c r="B410" s="96" t="s">
        <v>587</v>
      </c>
      <c r="C410" s="96" t="s">
        <v>283</v>
      </c>
      <c r="D410" s="96">
        <v>1995</v>
      </c>
      <c r="E410" s="96">
        <v>10</v>
      </c>
      <c r="F410" s="96">
        <v>1</v>
      </c>
      <c r="G410" s="97">
        <v>2620.1999999999998</v>
      </c>
      <c r="H410" s="97">
        <v>2586</v>
      </c>
      <c r="I410" s="97">
        <v>2586</v>
      </c>
      <c r="J410" s="96">
        <v>109</v>
      </c>
      <c r="K410" s="96" t="s">
        <v>365</v>
      </c>
      <c r="L410" s="96" t="s">
        <v>366</v>
      </c>
      <c r="M410" s="96"/>
      <c r="N410" s="99"/>
      <c r="O410" s="99">
        <v>2377151.2400000002</v>
      </c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>
        <v>124000</v>
      </c>
      <c r="AA410" s="99">
        <f t="shared" si="65"/>
        <v>2501151.2400000002</v>
      </c>
      <c r="AB410" s="99">
        <v>2501151.2400000002</v>
      </c>
      <c r="AC410" s="99"/>
      <c r="AD410" s="99"/>
      <c r="AE410" s="101"/>
      <c r="AF410" s="96">
        <v>2022</v>
      </c>
      <c r="AG410" s="96">
        <v>2022</v>
      </c>
    </row>
    <row r="411" spans="1:33" ht="84.9" hidden="1" customHeight="1" x14ac:dyDescent="0.45">
      <c r="A411" s="96">
        <v>391</v>
      </c>
      <c r="B411" s="96" t="s">
        <v>587</v>
      </c>
      <c r="C411" s="96" t="s">
        <v>284</v>
      </c>
      <c r="D411" s="96">
        <v>1974</v>
      </c>
      <c r="E411" s="96">
        <v>9</v>
      </c>
      <c r="F411" s="96">
        <v>2</v>
      </c>
      <c r="G411" s="97">
        <v>3884.9</v>
      </c>
      <c r="H411" s="97">
        <v>3884.9</v>
      </c>
      <c r="I411" s="97">
        <v>3884.9</v>
      </c>
      <c r="J411" s="96">
        <v>166</v>
      </c>
      <c r="K411" s="96" t="s">
        <v>365</v>
      </c>
      <c r="L411" s="96" t="s">
        <v>366</v>
      </c>
      <c r="M411" s="96"/>
      <c r="N411" s="99"/>
      <c r="O411" s="99"/>
      <c r="P411" s="99"/>
      <c r="Q411" s="99"/>
      <c r="R411" s="99"/>
      <c r="S411" s="99"/>
      <c r="T411" s="99"/>
      <c r="U411" s="99">
        <v>3702831.57</v>
      </c>
      <c r="V411" s="99"/>
      <c r="W411" s="99"/>
      <c r="X411" s="99"/>
      <c r="Y411" s="99"/>
      <c r="Z411" s="99">
        <v>151890.07999999999</v>
      </c>
      <c r="AA411" s="99">
        <f t="shared" ref="AA411:AA413" si="66">SUM(U411+Z411)</f>
        <v>3854721.65</v>
      </c>
      <c r="AB411" s="99"/>
      <c r="AC411" s="99"/>
      <c r="AD411" s="99">
        <f t="shared" ref="AD411:AD413" si="67">AA411</f>
        <v>3854721.65</v>
      </c>
      <c r="AE411" s="101"/>
      <c r="AF411" s="96">
        <v>2022</v>
      </c>
      <c r="AG411" s="96">
        <v>2022</v>
      </c>
    </row>
    <row r="412" spans="1:33" ht="84.9" hidden="1" customHeight="1" x14ac:dyDescent="0.45">
      <c r="A412" s="96">
        <v>392</v>
      </c>
      <c r="B412" s="96" t="s">
        <v>587</v>
      </c>
      <c r="C412" s="96" t="s">
        <v>285</v>
      </c>
      <c r="D412" s="96">
        <v>1974</v>
      </c>
      <c r="E412" s="96">
        <v>9</v>
      </c>
      <c r="F412" s="96">
        <v>2</v>
      </c>
      <c r="G412" s="97">
        <v>3857.1</v>
      </c>
      <c r="H412" s="97">
        <v>3857.1</v>
      </c>
      <c r="I412" s="97">
        <v>3857.1</v>
      </c>
      <c r="J412" s="96">
        <v>164</v>
      </c>
      <c r="K412" s="96" t="s">
        <v>365</v>
      </c>
      <c r="L412" s="96" t="s">
        <v>366</v>
      </c>
      <c r="M412" s="96"/>
      <c r="N412" s="99"/>
      <c r="O412" s="99"/>
      <c r="P412" s="99"/>
      <c r="Q412" s="99"/>
      <c r="R412" s="99"/>
      <c r="S412" s="99"/>
      <c r="T412" s="99"/>
      <c r="U412" s="99">
        <v>3702831.57</v>
      </c>
      <c r="V412" s="99"/>
      <c r="W412" s="99"/>
      <c r="X412" s="99"/>
      <c r="Y412" s="99"/>
      <c r="Z412" s="99">
        <v>151890.07999999999</v>
      </c>
      <c r="AA412" s="99">
        <f t="shared" si="66"/>
        <v>3854721.65</v>
      </c>
      <c r="AB412" s="99"/>
      <c r="AC412" s="99"/>
      <c r="AD412" s="99">
        <f t="shared" si="67"/>
        <v>3854721.65</v>
      </c>
      <c r="AE412" s="101"/>
      <c r="AF412" s="96">
        <v>2022</v>
      </c>
      <c r="AG412" s="96">
        <v>2022</v>
      </c>
    </row>
    <row r="413" spans="1:33" ht="84.9" hidden="1" customHeight="1" x14ac:dyDescent="0.45">
      <c r="A413" s="96">
        <v>393</v>
      </c>
      <c r="B413" s="96" t="s">
        <v>587</v>
      </c>
      <c r="C413" s="96" t="s">
        <v>286</v>
      </c>
      <c r="D413" s="96">
        <v>1974</v>
      </c>
      <c r="E413" s="96">
        <v>9</v>
      </c>
      <c r="F413" s="96">
        <v>2</v>
      </c>
      <c r="G413" s="97">
        <v>3828.6</v>
      </c>
      <c r="H413" s="97">
        <v>3828.6</v>
      </c>
      <c r="I413" s="97">
        <v>3828.6</v>
      </c>
      <c r="J413" s="96">
        <v>160</v>
      </c>
      <c r="K413" s="96" t="s">
        <v>365</v>
      </c>
      <c r="L413" s="96" t="s">
        <v>366</v>
      </c>
      <c r="M413" s="96"/>
      <c r="N413" s="99"/>
      <c r="O413" s="99"/>
      <c r="P413" s="99"/>
      <c r="Q413" s="99"/>
      <c r="R413" s="99"/>
      <c r="S413" s="99"/>
      <c r="T413" s="99"/>
      <c r="U413" s="99">
        <v>3702831.57</v>
      </c>
      <c r="V413" s="99"/>
      <c r="W413" s="99"/>
      <c r="X413" s="99"/>
      <c r="Y413" s="99"/>
      <c r="Z413" s="99">
        <v>151890.07999999999</v>
      </c>
      <c r="AA413" s="99">
        <f t="shared" si="66"/>
        <v>3854721.65</v>
      </c>
      <c r="AB413" s="99"/>
      <c r="AC413" s="99"/>
      <c r="AD413" s="99">
        <f t="shared" si="67"/>
        <v>3854721.65</v>
      </c>
      <c r="AE413" s="101"/>
      <c r="AF413" s="96">
        <v>2022</v>
      </c>
      <c r="AG413" s="96">
        <v>2022</v>
      </c>
    </row>
    <row r="414" spans="1:33" ht="84.9" hidden="1" customHeight="1" x14ac:dyDescent="0.45">
      <c r="A414" s="96">
        <v>394</v>
      </c>
      <c r="B414" s="96" t="s">
        <v>587</v>
      </c>
      <c r="C414" s="96" t="s">
        <v>467</v>
      </c>
      <c r="D414" s="96">
        <v>1954</v>
      </c>
      <c r="E414" s="96">
        <v>5</v>
      </c>
      <c r="F414" s="96">
        <v>4</v>
      </c>
      <c r="G414" s="102" t="s">
        <v>468</v>
      </c>
      <c r="H414" s="97">
        <v>2284.9</v>
      </c>
      <c r="I414" s="97" t="s">
        <v>364</v>
      </c>
      <c r="J414" s="96" t="s">
        <v>364</v>
      </c>
      <c r="K414" s="96" t="s">
        <v>365</v>
      </c>
      <c r="L414" s="96" t="s">
        <v>366</v>
      </c>
      <c r="M414" s="96"/>
      <c r="N414" s="99"/>
      <c r="O414" s="99"/>
      <c r="P414" s="99"/>
      <c r="Q414" s="99"/>
      <c r="R414" s="99"/>
      <c r="S414" s="99"/>
      <c r="T414" s="99"/>
      <c r="U414" s="99"/>
      <c r="V414" s="99">
        <f>ROUND(3727.29*H414*1.015,2)</f>
        <v>8644232.1899999995</v>
      </c>
      <c r="W414" s="99"/>
      <c r="X414" s="99"/>
      <c r="Y414" s="99"/>
      <c r="Z414" s="99">
        <v>506206.99</v>
      </c>
      <c r="AA414" s="99">
        <f>SUM(N414:Z414)</f>
        <v>9150439.1799999997</v>
      </c>
      <c r="AB414" s="99"/>
      <c r="AC414" s="99"/>
      <c r="AD414" s="99">
        <f t="shared" ref="AD414:AD416" si="68">SUM(N414:Z414)</f>
        <v>9150439.1799999997</v>
      </c>
      <c r="AE414" s="101"/>
      <c r="AF414" s="96">
        <v>2020</v>
      </c>
      <c r="AG414" s="96">
        <v>2022</v>
      </c>
    </row>
    <row r="415" spans="1:33" ht="84.9" hidden="1" customHeight="1" x14ac:dyDescent="0.45">
      <c r="A415" s="96">
        <v>395</v>
      </c>
      <c r="B415" s="96" t="s">
        <v>587</v>
      </c>
      <c r="C415" s="96" t="s">
        <v>469</v>
      </c>
      <c r="D415" s="96">
        <v>1949</v>
      </c>
      <c r="E415" s="96">
        <v>2</v>
      </c>
      <c r="F415" s="96">
        <v>2</v>
      </c>
      <c r="G415" s="102">
        <v>1021.7</v>
      </c>
      <c r="H415" s="97">
        <v>930.4</v>
      </c>
      <c r="I415" s="97">
        <v>1021.7</v>
      </c>
      <c r="J415" s="96">
        <v>14</v>
      </c>
      <c r="K415" s="96" t="s">
        <v>365</v>
      </c>
      <c r="L415" s="96" t="s">
        <v>366</v>
      </c>
      <c r="M415" s="96"/>
      <c r="N415" s="99">
        <v>581959.39</v>
      </c>
      <c r="O415" s="99">
        <f>ROUND(H415*2933.55*1.015,2)</f>
        <v>2770315.54</v>
      </c>
      <c r="P415" s="99">
        <v>565282.06000000006</v>
      </c>
      <c r="Q415" s="99">
        <v>622651.68999999994</v>
      </c>
      <c r="R415" s="96"/>
      <c r="S415" s="99">
        <v>959257.94</v>
      </c>
      <c r="T415" s="99"/>
      <c r="U415" s="99"/>
      <c r="V415" s="99">
        <v>8164250.3700000001</v>
      </c>
      <c r="W415" s="99"/>
      <c r="X415" s="99"/>
      <c r="Y415" s="99"/>
      <c r="Z415" s="99">
        <v>1373652.8</v>
      </c>
      <c r="AA415" s="99">
        <f>SUM(N415+O415+P415+Q415+S415+V415+Z415)</f>
        <v>15037369.789999999</v>
      </c>
      <c r="AB415" s="99"/>
      <c r="AC415" s="99"/>
      <c r="AD415" s="99">
        <f t="shared" si="68"/>
        <v>15037369.789999999</v>
      </c>
      <c r="AE415" s="101"/>
      <c r="AF415" s="96" t="s">
        <v>470</v>
      </c>
      <c r="AG415" s="96" t="s">
        <v>471</v>
      </c>
    </row>
    <row r="416" spans="1:33" ht="84.9" hidden="1" customHeight="1" x14ac:dyDescent="0.45">
      <c r="A416" s="96">
        <v>396</v>
      </c>
      <c r="B416" s="96" t="s">
        <v>587</v>
      </c>
      <c r="C416" s="96" t="s">
        <v>472</v>
      </c>
      <c r="D416" s="96">
        <v>1957</v>
      </c>
      <c r="E416" s="96">
        <v>4</v>
      </c>
      <c r="F416" s="96">
        <v>3</v>
      </c>
      <c r="G416" s="97">
        <v>2566.1999999999998</v>
      </c>
      <c r="H416" s="97">
        <v>1741.8</v>
      </c>
      <c r="I416" s="97" t="s">
        <v>364</v>
      </c>
      <c r="J416" s="96" t="s">
        <v>364</v>
      </c>
      <c r="K416" s="96" t="s">
        <v>365</v>
      </c>
      <c r="L416" s="96" t="s">
        <v>366</v>
      </c>
      <c r="M416" s="96"/>
      <c r="N416" s="99"/>
      <c r="O416" s="99"/>
      <c r="P416" s="99"/>
      <c r="Q416" s="99"/>
      <c r="R416" s="99"/>
      <c r="S416" s="99"/>
      <c r="T416" s="99"/>
      <c r="U416" s="99"/>
      <c r="V416" s="99">
        <f>ROUND(4075.29*H416*1.015,2)</f>
        <v>7204815.2199999997</v>
      </c>
      <c r="W416" s="99"/>
      <c r="X416" s="99"/>
      <c r="Y416" s="99"/>
      <c r="Z416" s="99">
        <v>368408.7</v>
      </c>
      <c r="AA416" s="99">
        <f t="shared" ref="AA416:AA418" si="69">SUM(V416+Z416)</f>
        <v>7573223.9199999999</v>
      </c>
      <c r="AB416" s="99"/>
      <c r="AC416" s="99"/>
      <c r="AD416" s="99">
        <f t="shared" si="68"/>
        <v>7573223.9199999999</v>
      </c>
      <c r="AE416" s="101"/>
      <c r="AF416" s="96">
        <v>2020</v>
      </c>
      <c r="AG416" s="96">
        <v>2022</v>
      </c>
    </row>
    <row r="417" spans="1:33" ht="84.9" hidden="1" customHeight="1" x14ac:dyDescent="0.45">
      <c r="A417" s="96">
        <v>397</v>
      </c>
      <c r="B417" s="96" t="s">
        <v>587</v>
      </c>
      <c r="C417" s="96" t="s">
        <v>474</v>
      </c>
      <c r="D417" s="96">
        <v>1958</v>
      </c>
      <c r="E417" s="96">
        <v>3</v>
      </c>
      <c r="F417" s="96">
        <v>1</v>
      </c>
      <c r="G417" s="97">
        <v>615.70000000000005</v>
      </c>
      <c r="H417" s="97">
        <v>615.70000000000005</v>
      </c>
      <c r="I417" s="97">
        <v>405</v>
      </c>
      <c r="J417" s="96">
        <v>25</v>
      </c>
      <c r="K417" s="96" t="s">
        <v>365</v>
      </c>
      <c r="L417" s="96" t="s">
        <v>366</v>
      </c>
      <c r="M417" s="96"/>
      <c r="N417" s="99"/>
      <c r="O417" s="99"/>
      <c r="P417" s="99"/>
      <c r="Q417" s="99"/>
      <c r="R417" s="99"/>
      <c r="S417" s="99"/>
      <c r="T417" s="99"/>
      <c r="U417" s="99"/>
      <c r="V417" s="99">
        <f>ROUND(H417*5222.75*1.015,2)</f>
        <v>3263881.88</v>
      </c>
      <c r="W417" s="99"/>
      <c r="X417" s="99"/>
      <c r="Y417" s="99"/>
      <c r="Z417" s="99">
        <v>192938.83</v>
      </c>
      <c r="AA417" s="99">
        <f t="shared" si="69"/>
        <v>3456820.71</v>
      </c>
      <c r="AB417" s="99"/>
      <c r="AC417" s="99"/>
      <c r="AD417" s="99">
        <f>SUM(V417+Z417)</f>
        <v>3456820.71</v>
      </c>
      <c r="AE417" s="101"/>
      <c r="AF417" s="96">
        <v>2022</v>
      </c>
      <c r="AG417" s="96">
        <v>2022</v>
      </c>
    </row>
    <row r="418" spans="1:33" ht="84.9" hidden="1" customHeight="1" x14ac:dyDescent="0.45">
      <c r="A418" s="96">
        <v>398</v>
      </c>
      <c r="B418" s="96" t="s">
        <v>587</v>
      </c>
      <c r="C418" s="96" t="s">
        <v>475</v>
      </c>
      <c r="D418" s="96">
        <v>1962</v>
      </c>
      <c r="E418" s="96">
        <v>5</v>
      </c>
      <c r="F418" s="96">
        <v>4</v>
      </c>
      <c r="G418" s="102" t="s">
        <v>477</v>
      </c>
      <c r="H418" s="97">
        <v>2559.9</v>
      </c>
      <c r="I418" s="97" t="s">
        <v>364</v>
      </c>
      <c r="J418" s="96" t="s">
        <v>364</v>
      </c>
      <c r="K418" s="96" t="s">
        <v>365</v>
      </c>
      <c r="L418" s="96" t="s">
        <v>366</v>
      </c>
      <c r="M418" s="96"/>
      <c r="N418" s="99"/>
      <c r="O418" s="99"/>
      <c r="P418" s="99"/>
      <c r="Q418" s="99"/>
      <c r="R418" s="99"/>
      <c r="S418" s="99"/>
      <c r="T418" s="99"/>
      <c r="U418" s="99"/>
      <c r="V418" s="99">
        <f>ROUND(3727.29*H418*1.015,2)</f>
        <v>9684612.0199999996</v>
      </c>
      <c r="W418" s="99"/>
      <c r="X418" s="99"/>
      <c r="Y418" s="99"/>
      <c r="Z418" s="99">
        <v>503531.44</v>
      </c>
      <c r="AA418" s="99">
        <f t="shared" si="69"/>
        <v>10188143.459999999</v>
      </c>
      <c r="AB418" s="99"/>
      <c r="AC418" s="99"/>
      <c r="AD418" s="99">
        <f t="shared" ref="AD418:AD424" si="70">SUM(N418:Z418)</f>
        <v>10188143.459999999</v>
      </c>
      <c r="AE418" s="101"/>
      <c r="AF418" s="96">
        <v>2020</v>
      </c>
      <c r="AG418" s="96">
        <v>2022</v>
      </c>
    </row>
    <row r="419" spans="1:33" ht="84.9" hidden="1" customHeight="1" x14ac:dyDescent="0.45">
      <c r="A419" s="96">
        <v>399</v>
      </c>
      <c r="B419" s="96" t="s">
        <v>587</v>
      </c>
      <c r="C419" s="96" t="s">
        <v>478</v>
      </c>
      <c r="D419" s="96">
        <v>1972</v>
      </c>
      <c r="E419" s="96">
        <v>5</v>
      </c>
      <c r="F419" s="96">
        <v>5</v>
      </c>
      <c r="G419" s="97">
        <v>5181.1000000000004</v>
      </c>
      <c r="H419" s="97">
        <f>3957.5+750.7</f>
        <v>4708.2</v>
      </c>
      <c r="I419" s="104">
        <v>3957.5</v>
      </c>
      <c r="J419" s="96">
        <v>162</v>
      </c>
      <c r="K419" s="96" t="s">
        <v>365</v>
      </c>
      <c r="L419" s="96" t="s">
        <v>366</v>
      </c>
      <c r="M419" s="96"/>
      <c r="N419" s="99"/>
      <c r="O419" s="99"/>
      <c r="P419" s="99"/>
      <c r="Q419" s="99"/>
      <c r="R419" s="99"/>
      <c r="S419" s="99"/>
      <c r="T419" s="99"/>
      <c r="U419" s="99"/>
      <c r="V419" s="99"/>
      <c r="W419" s="99">
        <f>763.97*H419*1.015</f>
        <v>3650877.4073099997</v>
      </c>
      <c r="X419" s="99">
        <f>3170.13*H419*1.015</f>
        <v>15149490.156989997</v>
      </c>
      <c r="Y419" s="99">
        <f>1135.41*H419*1.015</f>
        <v>5425923.4224299993</v>
      </c>
      <c r="Z419" s="99">
        <v>635639.35</v>
      </c>
      <c r="AA419" s="99">
        <f>SUM(N419:Z419)</f>
        <v>24861930.336729996</v>
      </c>
      <c r="AB419" s="99"/>
      <c r="AC419" s="99"/>
      <c r="AD419" s="99">
        <f t="shared" si="70"/>
        <v>24861930.336729996</v>
      </c>
      <c r="AE419" s="101"/>
      <c r="AF419" s="96">
        <v>2020</v>
      </c>
      <c r="AG419" s="96">
        <v>2022</v>
      </c>
    </row>
    <row r="420" spans="1:33" ht="84.9" hidden="1" customHeight="1" x14ac:dyDescent="0.45">
      <c r="A420" s="96">
        <v>400</v>
      </c>
      <c r="B420" s="96" t="s">
        <v>587</v>
      </c>
      <c r="C420" s="96" t="s">
        <v>479</v>
      </c>
      <c r="D420" s="96">
        <v>1971</v>
      </c>
      <c r="E420" s="96">
        <v>5</v>
      </c>
      <c r="F420" s="96">
        <v>7</v>
      </c>
      <c r="G420" s="97">
        <v>7077.6</v>
      </c>
      <c r="H420" s="97">
        <f>5514.6+938.3</f>
        <v>6452.9000000000005</v>
      </c>
      <c r="I420" s="104">
        <v>5514.6</v>
      </c>
      <c r="J420" s="96">
        <v>238</v>
      </c>
      <c r="K420" s="96" t="s">
        <v>365</v>
      </c>
      <c r="L420" s="96" t="s">
        <v>366</v>
      </c>
      <c r="M420" s="96"/>
      <c r="N420" s="99"/>
      <c r="O420" s="99"/>
      <c r="P420" s="99"/>
      <c r="Q420" s="99"/>
      <c r="R420" s="99"/>
      <c r="S420" s="99"/>
      <c r="T420" s="99"/>
      <c r="U420" s="99"/>
      <c r="V420" s="99">
        <f>ROUND(H420*3517.3*1.015,2)</f>
        <v>23037236.949999999</v>
      </c>
      <c r="W420" s="99">
        <f>ROUND(H420*763.97*1.015,2)</f>
        <v>5003769.34</v>
      </c>
      <c r="X420" s="99">
        <f>ROUND(H420*3170.13*1.015,2)</f>
        <v>20763379.859999999</v>
      </c>
      <c r="Y420" s="99">
        <f>ROUND(H420*1135.41*1.015,2)</f>
        <v>7436587.5</v>
      </c>
      <c r="Z420" s="99">
        <f>1361807.11+701067.64</f>
        <v>2062874.75</v>
      </c>
      <c r="AA420" s="99">
        <f>SUM(V420+W420+X420+Y420+Z420)</f>
        <v>58303848.399999999</v>
      </c>
      <c r="AB420" s="99"/>
      <c r="AC420" s="99"/>
      <c r="AD420" s="99">
        <f>SUM(V420+W420+X420+Y420+Z420)</f>
        <v>58303848.399999999</v>
      </c>
      <c r="AE420" s="101"/>
      <c r="AF420" s="96" t="s">
        <v>481</v>
      </c>
      <c r="AG420" s="96" t="s">
        <v>482</v>
      </c>
    </row>
    <row r="421" spans="1:33" ht="84.9" hidden="1" customHeight="1" x14ac:dyDescent="0.45">
      <c r="A421" s="96">
        <v>401</v>
      </c>
      <c r="B421" s="96" t="s">
        <v>587</v>
      </c>
      <c r="C421" s="96" t="s">
        <v>287</v>
      </c>
      <c r="D421" s="96">
        <v>1963</v>
      </c>
      <c r="E421" s="96">
        <v>6</v>
      </c>
      <c r="F421" s="96">
        <v>3</v>
      </c>
      <c r="G421" s="97">
        <v>2786</v>
      </c>
      <c r="H421" s="97">
        <v>2589.5</v>
      </c>
      <c r="I421" s="104">
        <v>2543.5</v>
      </c>
      <c r="J421" s="96">
        <v>103</v>
      </c>
      <c r="K421" s="96" t="s">
        <v>365</v>
      </c>
      <c r="L421" s="96" t="s">
        <v>366</v>
      </c>
      <c r="M421" s="96"/>
      <c r="N421" s="99"/>
      <c r="O421" s="99">
        <v>2377151.2400000002</v>
      </c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>
        <v>124000</v>
      </c>
      <c r="AA421" s="99">
        <f>SUM(O421+Z421)</f>
        <v>2501151.2400000002</v>
      </c>
      <c r="AB421" s="99">
        <v>2501151.2400000002</v>
      </c>
      <c r="AC421" s="99"/>
      <c r="AD421" s="99"/>
      <c r="AE421" s="101"/>
      <c r="AF421" s="96">
        <v>2022</v>
      </c>
      <c r="AG421" s="96">
        <v>2022</v>
      </c>
    </row>
    <row r="422" spans="1:33" ht="84.9" hidden="1" customHeight="1" x14ac:dyDescent="0.45">
      <c r="A422" s="96">
        <v>402</v>
      </c>
      <c r="B422" s="96" t="s">
        <v>587</v>
      </c>
      <c r="C422" s="96" t="s">
        <v>484</v>
      </c>
      <c r="D422" s="96">
        <v>1937</v>
      </c>
      <c r="E422" s="96">
        <v>3</v>
      </c>
      <c r="F422" s="96">
        <v>4</v>
      </c>
      <c r="G422" s="97" t="s">
        <v>485</v>
      </c>
      <c r="H422" s="97">
        <v>2249.3000000000002</v>
      </c>
      <c r="I422" s="97" t="s">
        <v>364</v>
      </c>
      <c r="J422" s="96" t="s">
        <v>364</v>
      </c>
      <c r="K422" s="96" t="s">
        <v>371</v>
      </c>
      <c r="L422" s="96" t="s">
        <v>366</v>
      </c>
      <c r="M422" s="96"/>
      <c r="N422" s="99"/>
      <c r="O422" s="99"/>
      <c r="P422" s="99"/>
      <c r="Q422" s="99"/>
      <c r="R422" s="99"/>
      <c r="S422" s="99"/>
      <c r="T422" s="99"/>
      <c r="U422" s="99"/>
      <c r="V422" s="99">
        <f>ROUND(5975.33*H422*1.015,2)</f>
        <v>13641914.42</v>
      </c>
      <c r="W422" s="99"/>
      <c r="X422" s="99"/>
      <c r="Y422" s="99"/>
      <c r="Z422" s="99">
        <v>329793.06</v>
      </c>
      <c r="AA422" s="99">
        <f t="shared" ref="AA422:AA425" si="71">SUM(V422+Z422)</f>
        <v>13971707.48</v>
      </c>
      <c r="AB422" s="99"/>
      <c r="AC422" s="99"/>
      <c r="AD422" s="99">
        <f t="shared" si="70"/>
        <v>13971707.48</v>
      </c>
      <c r="AE422" s="101"/>
      <c r="AF422" s="96">
        <v>2020</v>
      </c>
      <c r="AG422" s="96">
        <v>2022</v>
      </c>
    </row>
    <row r="423" spans="1:33" ht="84.9" hidden="1" customHeight="1" x14ac:dyDescent="0.45">
      <c r="A423" s="96">
        <v>403</v>
      </c>
      <c r="B423" s="96" t="s">
        <v>587</v>
      </c>
      <c r="C423" s="96" t="s">
        <v>486</v>
      </c>
      <c r="D423" s="96">
        <v>1952</v>
      </c>
      <c r="E423" s="96">
        <v>2</v>
      </c>
      <c r="F423" s="96">
        <v>2</v>
      </c>
      <c r="G423" s="97">
        <v>924.8</v>
      </c>
      <c r="H423" s="97">
        <v>608.1</v>
      </c>
      <c r="I423" s="97" t="s">
        <v>364</v>
      </c>
      <c r="J423" s="96" t="s">
        <v>364</v>
      </c>
      <c r="K423" s="96" t="s">
        <v>371</v>
      </c>
      <c r="L423" s="96" t="s">
        <v>366</v>
      </c>
      <c r="M423" s="96"/>
      <c r="N423" s="99"/>
      <c r="O423" s="99"/>
      <c r="P423" s="99"/>
      <c r="Q423" s="99"/>
      <c r="R423" s="99"/>
      <c r="S423" s="99"/>
      <c r="T423" s="99"/>
      <c r="U423" s="99"/>
      <c r="V423" s="99">
        <f>ROUND(8645.31*H423*1.015,2)</f>
        <v>5336071.21</v>
      </c>
      <c r="W423" s="99"/>
      <c r="X423" s="99"/>
      <c r="Y423" s="99"/>
      <c r="Z423" s="99">
        <v>74705</v>
      </c>
      <c r="AA423" s="99">
        <f t="shared" si="71"/>
        <v>5410776.21</v>
      </c>
      <c r="AB423" s="99"/>
      <c r="AC423" s="99"/>
      <c r="AD423" s="99">
        <f t="shared" si="70"/>
        <v>5410776.21</v>
      </c>
      <c r="AE423" s="101"/>
      <c r="AF423" s="96">
        <v>2020</v>
      </c>
      <c r="AG423" s="96">
        <v>2022</v>
      </c>
    </row>
    <row r="424" spans="1:33" ht="84.9" hidden="1" customHeight="1" x14ac:dyDescent="0.45">
      <c r="A424" s="96">
        <v>404</v>
      </c>
      <c r="B424" s="96" t="s">
        <v>587</v>
      </c>
      <c r="C424" s="96" t="s">
        <v>487</v>
      </c>
      <c r="D424" s="96">
        <v>1960</v>
      </c>
      <c r="E424" s="96">
        <v>4</v>
      </c>
      <c r="F424" s="96">
        <v>2</v>
      </c>
      <c r="G424" s="97" t="s">
        <v>488</v>
      </c>
      <c r="H424" s="97">
        <f>1281.1+342.4</f>
        <v>1623.5</v>
      </c>
      <c r="I424" s="97" t="s">
        <v>364</v>
      </c>
      <c r="J424" s="96" t="s">
        <v>364</v>
      </c>
      <c r="K424" s="96" t="s">
        <v>371</v>
      </c>
      <c r="L424" s="96" t="s">
        <v>366</v>
      </c>
      <c r="M424" s="96"/>
      <c r="N424" s="99"/>
      <c r="O424" s="99"/>
      <c r="P424" s="99"/>
      <c r="Q424" s="99"/>
      <c r="R424" s="99"/>
      <c r="S424" s="99"/>
      <c r="T424" s="99"/>
      <c r="U424" s="99"/>
      <c r="V424" s="99">
        <f>ROUND(5975.33*H424*1.015,2)</f>
        <v>9846462.4800000004</v>
      </c>
      <c r="W424" s="99"/>
      <c r="X424" s="99"/>
      <c r="Y424" s="99"/>
      <c r="Z424" s="99">
        <v>321553.62</v>
      </c>
      <c r="AA424" s="99">
        <f t="shared" si="71"/>
        <v>10168016.1</v>
      </c>
      <c r="AB424" s="99"/>
      <c r="AC424" s="99"/>
      <c r="AD424" s="99">
        <f t="shared" si="70"/>
        <v>10168016.1</v>
      </c>
      <c r="AE424" s="101"/>
      <c r="AF424" s="96">
        <v>2020</v>
      </c>
      <c r="AG424" s="96">
        <v>2022</v>
      </c>
    </row>
    <row r="425" spans="1:33" ht="84.9" hidden="1" customHeight="1" x14ac:dyDescent="0.45">
      <c r="A425" s="96">
        <v>405</v>
      </c>
      <c r="B425" s="96" t="s">
        <v>587</v>
      </c>
      <c r="C425" s="96" t="s">
        <v>489</v>
      </c>
      <c r="D425" s="96">
        <v>1963</v>
      </c>
      <c r="E425" s="96">
        <v>5</v>
      </c>
      <c r="F425" s="96">
        <v>2</v>
      </c>
      <c r="G425" s="97">
        <v>2774</v>
      </c>
      <c r="H425" s="97">
        <v>1867.9</v>
      </c>
      <c r="I425" s="97">
        <v>1703.7</v>
      </c>
      <c r="J425" s="96">
        <v>101</v>
      </c>
      <c r="K425" s="96" t="s">
        <v>365</v>
      </c>
      <c r="L425" s="96" t="s">
        <v>366</v>
      </c>
      <c r="M425" s="96"/>
      <c r="N425" s="99"/>
      <c r="O425" s="99"/>
      <c r="P425" s="99"/>
      <c r="Q425" s="99"/>
      <c r="R425" s="99"/>
      <c r="S425" s="99"/>
      <c r="T425" s="99"/>
      <c r="U425" s="99"/>
      <c r="V425" s="99">
        <v>6857764.7199999997</v>
      </c>
      <c r="W425" s="99"/>
      <c r="X425" s="99"/>
      <c r="Y425" s="99"/>
      <c r="Z425" s="99">
        <v>405385.11</v>
      </c>
      <c r="AA425" s="99">
        <f t="shared" si="71"/>
        <v>7263149.8300000001</v>
      </c>
      <c r="AB425" s="99"/>
      <c r="AC425" s="99"/>
      <c r="AD425" s="99">
        <f>SUM(V425+Z425)</f>
        <v>7263149.8300000001</v>
      </c>
      <c r="AE425" s="101"/>
      <c r="AF425" s="96">
        <v>2022</v>
      </c>
      <c r="AG425" s="96">
        <v>2022</v>
      </c>
    </row>
    <row r="426" spans="1:33" ht="84.9" customHeight="1" x14ac:dyDescent="0.45">
      <c r="A426" s="96">
        <v>406</v>
      </c>
      <c r="B426" s="96" t="s">
        <v>587</v>
      </c>
      <c r="C426" s="96" t="s">
        <v>288</v>
      </c>
      <c r="D426" s="96">
        <v>1978</v>
      </c>
      <c r="E426" s="96">
        <v>9</v>
      </c>
      <c r="F426" s="96">
        <v>2</v>
      </c>
      <c r="G426" s="97">
        <v>4212</v>
      </c>
      <c r="H426" s="97">
        <v>4202.7</v>
      </c>
      <c r="I426" s="97">
        <v>4202.7</v>
      </c>
      <c r="J426" s="96">
        <v>180</v>
      </c>
      <c r="K426" s="96" t="s">
        <v>365</v>
      </c>
      <c r="L426" s="96" t="s">
        <v>366</v>
      </c>
      <c r="M426" s="96"/>
      <c r="N426" s="99"/>
      <c r="O426" s="99"/>
      <c r="P426" s="99"/>
      <c r="Q426" s="99"/>
      <c r="R426" s="99"/>
      <c r="S426" s="99"/>
      <c r="T426" s="99"/>
      <c r="U426" s="99">
        <v>3702831.57</v>
      </c>
      <c r="V426" s="99"/>
      <c r="W426" s="99"/>
      <c r="X426" s="99"/>
      <c r="Y426" s="99"/>
      <c r="Z426" s="99">
        <v>151890.07999999999</v>
      </c>
      <c r="AA426" s="99">
        <f t="shared" ref="AA426:AA428" si="72">SUM(U426+Z426)</f>
        <v>3854721.65</v>
      </c>
      <c r="AB426" s="99"/>
      <c r="AC426" s="99"/>
      <c r="AD426" s="99">
        <f t="shared" ref="AD426:AD428" si="73">AA426</f>
        <v>3854721.65</v>
      </c>
      <c r="AE426" s="101"/>
      <c r="AF426" s="96">
        <v>2022</v>
      </c>
      <c r="AG426" s="96">
        <v>2022</v>
      </c>
    </row>
    <row r="427" spans="1:33" ht="84.9" customHeight="1" x14ac:dyDescent="0.45">
      <c r="A427" s="96">
        <v>407</v>
      </c>
      <c r="B427" s="96" t="s">
        <v>587</v>
      </c>
      <c r="C427" s="96" t="s">
        <v>289</v>
      </c>
      <c r="D427" s="96">
        <v>1977</v>
      </c>
      <c r="E427" s="96">
        <v>9</v>
      </c>
      <c r="F427" s="96">
        <v>1</v>
      </c>
      <c r="G427" s="97">
        <v>6695.5</v>
      </c>
      <c r="H427" s="97">
        <v>6695.5</v>
      </c>
      <c r="I427" s="97">
        <v>6695.5</v>
      </c>
      <c r="J427" s="96">
        <v>200</v>
      </c>
      <c r="K427" s="96" t="s">
        <v>365</v>
      </c>
      <c r="L427" s="96" t="s">
        <v>366</v>
      </c>
      <c r="M427" s="96"/>
      <c r="N427" s="99"/>
      <c r="O427" s="99"/>
      <c r="P427" s="99"/>
      <c r="Q427" s="99"/>
      <c r="R427" s="99"/>
      <c r="S427" s="99"/>
      <c r="T427" s="99"/>
      <c r="U427" s="99">
        <v>1851415.78</v>
      </c>
      <c r="V427" s="99"/>
      <c r="W427" s="99"/>
      <c r="X427" s="99"/>
      <c r="Y427" s="99"/>
      <c r="Z427" s="99">
        <v>75945.039999999994</v>
      </c>
      <c r="AA427" s="99">
        <f t="shared" si="72"/>
        <v>1927360.82</v>
      </c>
      <c r="AB427" s="99"/>
      <c r="AC427" s="99"/>
      <c r="AD427" s="99">
        <f t="shared" si="73"/>
        <v>1927360.82</v>
      </c>
      <c r="AE427" s="101"/>
      <c r="AF427" s="96">
        <v>2022</v>
      </c>
      <c r="AG427" s="96">
        <v>2022</v>
      </c>
    </row>
    <row r="428" spans="1:33" ht="84.9" customHeight="1" x14ac:dyDescent="0.45">
      <c r="A428" s="96">
        <v>408</v>
      </c>
      <c r="B428" s="96" t="s">
        <v>587</v>
      </c>
      <c r="C428" s="96" t="s">
        <v>290</v>
      </c>
      <c r="D428" s="96">
        <v>1977</v>
      </c>
      <c r="E428" s="96">
        <v>9</v>
      </c>
      <c r="F428" s="96">
        <v>2</v>
      </c>
      <c r="G428" s="97">
        <v>4117.3</v>
      </c>
      <c r="H428" s="97">
        <v>4117.3</v>
      </c>
      <c r="I428" s="97">
        <v>4117.3</v>
      </c>
      <c r="J428" s="96">
        <v>166</v>
      </c>
      <c r="K428" s="96" t="s">
        <v>365</v>
      </c>
      <c r="L428" s="96" t="s">
        <v>366</v>
      </c>
      <c r="M428" s="96"/>
      <c r="N428" s="99"/>
      <c r="O428" s="99"/>
      <c r="P428" s="99"/>
      <c r="Q428" s="99"/>
      <c r="R428" s="99"/>
      <c r="S428" s="99"/>
      <c r="T428" s="99"/>
      <c r="U428" s="99">
        <v>3702831.57</v>
      </c>
      <c r="V428" s="99"/>
      <c r="W428" s="99"/>
      <c r="X428" s="99"/>
      <c r="Y428" s="99"/>
      <c r="Z428" s="99">
        <v>151890.07999999999</v>
      </c>
      <c r="AA428" s="99">
        <f t="shared" si="72"/>
        <v>3854721.65</v>
      </c>
      <c r="AB428" s="99"/>
      <c r="AC428" s="99"/>
      <c r="AD428" s="99">
        <f t="shared" si="73"/>
        <v>3854721.65</v>
      </c>
      <c r="AE428" s="101"/>
      <c r="AF428" s="96">
        <v>2022</v>
      </c>
      <c r="AG428" s="96">
        <v>2022</v>
      </c>
    </row>
    <row r="429" spans="1:33" ht="84.9" hidden="1" customHeight="1" x14ac:dyDescent="0.45">
      <c r="A429" s="96">
        <v>409</v>
      </c>
      <c r="B429" s="96" t="s">
        <v>587</v>
      </c>
      <c r="C429" s="96" t="s">
        <v>490</v>
      </c>
      <c r="D429" s="96">
        <v>1989</v>
      </c>
      <c r="E429" s="96">
        <v>10</v>
      </c>
      <c r="F429" s="96">
        <v>2</v>
      </c>
      <c r="G429" s="97">
        <v>5939.3</v>
      </c>
      <c r="H429" s="97">
        <v>5889.1</v>
      </c>
      <c r="I429" s="97" t="s">
        <v>364</v>
      </c>
      <c r="J429" s="96" t="s">
        <v>364</v>
      </c>
      <c r="K429" s="96" t="s">
        <v>493</v>
      </c>
      <c r="L429" s="96" t="s">
        <v>425</v>
      </c>
      <c r="M429" s="96"/>
      <c r="N429" s="99"/>
      <c r="O429" s="99"/>
      <c r="P429" s="99"/>
      <c r="Q429" s="99"/>
      <c r="R429" s="99"/>
      <c r="S429" s="99"/>
      <c r="T429" s="99"/>
      <c r="U429" s="99"/>
      <c r="V429" s="99"/>
      <c r="W429" s="99">
        <f>635.48*H429*1.015</f>
        <v>3798541.3470199998</v>
      </c>
      <c r="X429" s="99"/>
      <c r="Y429" s="99"/>
      <c r="Z429" s="99">
        <v>411596.45</v>
      </c>
      <c r="AA429" s="99">
        <f>SUM(W429+Z429)</f>
        <v>4210137.7970199995</v>
      </c>
      <c r="AB429" s="99"/>
      <c r="AC429" s="99"/>
      <c r="AD429" s="99">
        <f>SUM(N429:Z429)</f>
        <v>4210137.7970199995</v>
      </c>
      <c r="AE429" s="101"/>
      <c r="AF429" s="96">
        <v>2020</v>
      </c>
      <c r="AG429" s="96">
        <v>2022</v>
      </c>
    </row>
    <row r="430" spans="1:33" ht="84.9" hidden="1" customHeight="1" x14ac:dyDescent="0.45">
      <c r="A430" s="96">
        <v>410</v>
      </c>
      <c r="B430" s="96" t="s">
        <v>587</v>
      </c>
      <c r="C430" s="96" t="s">
        <v>494</v>
      </c>
      <c r="D430" s="96">
        <v>1954</v>
      </c>
      <c r="E430" s="96">
        <v>6</v>
      </c>
      <c r="F430" s="96">
        <v>9</v>
      </c>
      <c r="G430" s="97">
        <v>10494.1</v>
      </c>
      <c r="H430" s="97">
        <v>10494.1</v>
      </c>
      <c r="I430" s="96">
        <v>2587.6</v>
      </c>
      <c r="J430" s="96">
        <v>85</v>
      </c>
      <c r="K430" s="96" t="s">
        <v>365</v>
      </c>
      <c r="L430" s="96" t="s">
        <v>366</v>
      </c>
      <c r="M430" s="96"/>
      <c r="N430" s="99"/>
      <c r="O430" s="99"/>
      <c r="P430" s="99"/>
      <c r="Q430" s="99"/>
      <c r="R430" s="99"/>
      <c r="S430" s="99"/>
      <c r="T430" s="99"/>
      <c r="U430" s="99"/>
      <c r="V430" s="99">
        <f>ROUND(H430*3855.19*1.015,2)</f>
        <v>41063600.619999997</v>
      </c>
      <c r="W430" s="99"/>
      <c r="X430" s="99"/>
      <c r="Y430" s="99"/>
      <c r="Z430" s="99">
        <v>2427404.96</v>
      </c>
      <c r="AA430" s="99">
        <f>SUM(V430+Z430)</f>
        <v>43491005.579999998</v>
      </c>
      <c r="AB430" s="99"/>
      <c r="AC430" s="100"/>
      <c r="AD430" s="99">
        <f>AA430</f>
        <v>43491005.579999998</v>
      </c>
      <c r="AE430" s="101"/>
      <c r="AF430" s="96">
        <v>2022</v>
      </c>
      <c r="AG430" s="96">
        <v>2023</v>
      </c>
    </row>
    <row r="431" spans="1:33" ht="135.75" hidden="1" customHeight="1" x14ac:dyDescent="0.45">
      <c r="A431" s="96">
        <v>411</v>
      </c>
      <c r="B431" s="96" t="s">
        <v>587</v>
      </c>
      <c r="C431" s="96" t="s">
        <v>496</v>
      </c>
      <c r="D431" s="96">
        <v>1941</v>
      </c>
      <c r="E431" s="96">
        <v>9</v>
      </c>
      <c r="F431" s="96">
        <v>2</v>
      </c>
      <c r="G431" s="97">
        <v>3088.7</v>
      </c>
      <c r="H431" s="97">
        <v>3088.7</v>
      </c>
      <c r="I431" s="96">
        <v>1881.7</v>
      </c>
      <c r="J431" s="96" t="s">
        <v>364</v>
      </c>
      <c r="K431" s="96" t="s">
        <v>365</v>
      </c>
      <c r="L431" s="96" t="s">
        <v>366</v>
      </c>
      <c r="M431" s="96"/>
      <c r="N431" s="99"/>
      <c r="O431" s="99"/>
      <c r="P431" s="99"/>
      <c r="Q431" s="99"/>
      <c r="R431" s="99"/>
      <c r="S431" s="99"/>
      <c r="T431" s="99"/>
      <c r="U431" s="99"/>
      <c r="V431" s="99" t="s">
        <v>499</v>
      </c>
      <c r="W431" s="99"/>
      <c r="X431" s="99">
        <v>8301153.21</v>
      </c>
      <c r="Y431" s="99"/>
      <c r="Z431" s="99">
        <v>1598068.67</v>
      </c>
      <c r="AA431" s="99">
        <f>27033995.01+Z431</f>
        <v>28632063.68</v>
      </c>
      <c r="AB431" s="99"/>
      <c r="AC431" s="100"/>
      <c r="AD431" s="99">
        <v>28632063.68</v>
      </c>
      <c r="AE431" s="101"/>
      <c r="AF431" s="96">
        <v>2022</v>
      </c>
      <c r="AG431" s="96">
        <v>2022</v>
      </c>
    </row>
    <row r="432" spans="1:33" ht="84.9" hidden="1" customHeight="1" x14ac:dyDescent="0.45">
      <c r="A432" s="96">
        <v>412</v>
      </c>
      <c r="B432" s="96" t="s">
        <v>587</v>
      </c>
      <c r="C432" s="96" t="s">
        <v>501</v>
      </c>
      <c r="D432" s="96">
        <v>1976</v>
      </c>
      <c r="E432" s="96">
        <v>5</v>
      </c>
      <c r="F432" s="96">
        <v>2</v>
      </c>
      <c r="G432" s="97">
        <v>3867.2</v>
      </c>
      <c r="H432" s="97">
        <v>3212.4</v>
      </c>
      <c r="I432" s="97" t="s">
        <v>364</v>
      </c>
      <c r="J432" s="96" t="s">
        <v>364</v>
      </c>
      <c r="K432" s="96" t="s">
        <v>365</v>
      </c>
      <c r="L432" s="96" t="s">
        <v>366</v>
      </c>
      <c r="M432" s="96"/>
      <c r="N432" s="99"/>
      <c r="O432" s="99"/>
      <c r="P432" s="99"/>
      <c r="Q432" s="99"/>
      <c r="R432" s="99">
        <v>1215410.51</v>
      </c>
      <c r="S432" s="99"/>
      <c r="T432" s="99"/>
      <c r="U432" s="99"/>
      <c r="V432" s="99">
        <f>ROUND(3727.29*H432*1.015,2)</f>
        <v>12153149.59</v>
      </c>
      <c r="W432" s="99"/>
      <c r="X432" s="99"/>
      <c r="Y432" s="99"/>
      <c r="Z432" s="99">
        <v>531157.51</v>
      </c>
      <c r="AA432" s="99">
        <f>SUM(R432+V432+Z432)</f>
        <v>13899717.609999999</v>
      </c>
      <c r="AB432" s="99"/>
      <c r="AC432" s="99"/>
      <c r="AD432" s="99">
        <f>SUM(R432+V432+Z432)</f>
        <v>13899717.609999999</v>
      </c>
      <c r="AE432" s="101"/>
      <c r="AF432" s="96" t="s">
        <v>503</v>
      </c>
      <c r="AG432" s="96" t="s">
        <v>470</v>
      </c>
    </row>
    <row r="433" spans="1:33" ht="84.9" hidden="1" customHeight="1" x14ac:dyDescent="0.45">
      <c r="A433" s="96">
        <v>413</v>
      </c>
      <c r="B433" s="96" t="s">
        <v>587</v>
      </c>
      <c r="C433" s="96" t="s">
        <v>291</v>
      </c>
      <c r="D433" s="96">
        <v>1986</v>
      </c>
      <c r="E433" s="96">
        <v>10</v>
      </c>
      <c r="F433" s="96">
        <v>5</v>
      </c>
      <c r="G433" s="97">
        <v>12414</v>
      </c>
      <c r="H433" s="97">
        <v>13610.5</v>
      </c>
      <c r="I433" s="97">
        <v>13457.1</v>
      </c>
      <c r="J433" s="96">
        <v>505</v>
      </c>
      <c r="K433" s="96" t="s">
        <v>365</v>
      </c>
      <c r="L433" s="96" t="s">
        <v>366</v>
      </c>
      <c r="M433" s="96"/>
      <c r="N433" s="99"/>
      <c r="O433" s="99">
        <v>9508604.9600000009</v>
      </c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>
        <v>496000</v>
      </c>
      <c r="AA433" s="99">
        <f t="shared" ref="AA433:AA435" si="74">SUM(O433+Z433)</f>
        <v>10004604.960000001</v>
      </c>
      <c r="AB433" s="99">
        <f t="shared" ref="AB433:AB435" si="75">AA433</f>
        <v>10004604.960000001</v>
      </c>
      <c r="AC433" s="99"/>
      <c r="AD433" s="99"/>
      <c r="AE433" s="101"/>
      <c r="AF433" s="96">
        <v>2022</v>
      </c>
      <c r="AG433" s="96">
        <v>2022</v>
      </c>
    </row>
    <row r="434" spans="1:33" ht="84.9" hidden="1" customHeight="1" x14ac:dyDescent="0.45">
      <c r="A434" s="96">
        <v>414</v>
      </c>
      <c r="B434" s="96" t="s">
        <v>587</v>
      </c>
      <c r="C434" s="96" t="s">
        <v>292</v>
      </c>
      <c r="D434" s="96">
        <v>1993</v>
      </c>
      <c r="E434" s="96">
        <v>10</v>
      </c>
      <c r="F434" s="96">
        <v>4</v>
      </c>
      <c r="G434" s="97">
        <v>10449.1</v>
      </c>
      <c r="H434" s="97">
        <v>10704.4</v>
      </c>
      <c r="I434" s="97">
        <v>10639.1</v>
      </c>
      <c r="J434" s="96">
        <v>406</v>
      </c>
      <c r="K434" s="96" t="s">
        <v>365</v>
      </c>
      <c r="L434" s="96" t="s">
        <v>425</v>
      </c>
      <c r="M434" s="96"/>
      <c r="N434" s="99"/>
      <c r="O434" s="99">
        <v>7131453.7199999997</v>
      </c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>
        <v>372000</v>
      </c>
      <c r="AA434" s="99">
        <f t="shared" si="74"/>
        <v>7503453.7199999997</v>
      </c>
      <c r="AB434" s="99">
        <f t="shared" si="75"/>
        <v>7503453.7199999997</v>
      </c>
      <c r="AC434" s="99"/>
      <c r="AD434" s="99"/>
      <c r="AE434" s="101"/>
      <c r="AF434" s="96">
        <v>2022</v>
      </c>
      <c r="AG434" s="96">
        <v>2022</v>
      </c>
    </row>
    <row r="435" spans="1:33" ht="84.9" hidden="1" customHeight="1" x14ac:dyDescent="0.45">
      <c r="A435" s="96">
        <v>415</v>
      </c>
      <c r="B435" s="96" t="s">
        <v>587</v>
      </c>
      <c r="C435" s="96" t="s">
        <v>293</v>
      </c>
      <c r="D435" s="96">
        <v>1993</v>
      </c>
      <c r="E435" s="96">
        <v>10</v>
      </c>
      <c r="F435" s="96">
        <v>4</v>
      </c>
      <c r="G435" s="97">
        <v>10722.8</v>
      </c>
      <c r="H435" s="97">
        <v>10765.8</v>
      </c>
      <c r="I435" s="97">
        <v>10643.4</v>
      </c>
      <c r="J435" s="96">
        <v>440</v>
      </c>
      <c r="K435" s="96" t="s">
        <v>365</v>
      </c>
      <c r="L435" s="96" t="s">
        <v>366</v>
      </c>
      <c r="M435" s="96"/>
      <c r="N435" s="99"/>
      <c r="O435" s="99">
        <v>7131453.7199999997</v>
      </c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>
        <v>372000</v>
      </c>
      <c r="AA435" s="99">
        <f t="shared" si="74"/>
        <v>7503453.7199999997</v>
      </c>
      <c r="AB435" s="99">
        <f t="shared" si="75"/>
        <v>7503453.7199999997</v>
      </c>
      <c r="AC435" s="99"/>
      <c r="AD435" s="99"/>
      <c r="AE435" s="101"/>
      <c r="AF435" s="96">
        <v>2022</v>
      </c>
      <c r="AG435" s="96">
        <v>2022</v>
      </c>
    </row>
    <row r="436" spans="1:33" ht="84.9" hidden="1" customHeight="1" x14ac:dyDescent="0.45">
      <c r="A436" s="96">
        <v>416</v>
      </c>
      <c r="B436" s="96" t="s">
        <v>587</v>
      </c>
      <c r="C436" s="96" t="s">
        <v>505</v>
      </c>
      <c r="D436" s="96">
        <v>1970</v>
      </c>
      <c r="E436" s="96">
        <v>5</v>
      </c>
      <c r="F436" s="96">
        <v>8</v>
      </c>
      <c r="G436" s="97">
        <v>6607.5</v>
      </c>
      <c r="H436" s="97">
        <v>6019.7</v>
      </c>
      <c r="I436" s="97" t="s">
        <v>364</v>
      </c>
      <c r="J436" s="96" t="s">
        <v>364</v>
      </c>
      <c r="K436" s="96" t="s">
        <v>365</v>
      </c>
      <c r="L436" s="96" t="s">
        <v>366</v>
      </c>
      <c r="M436" s="96"/>
      <c r="N436" s="99"/>
      <c r="O436" s="99"/>
      <c r="P436" s="99"/>
      <c r="Q436" s="99"/>
      <c r="R436" s="99"/>
      <c r="S436" s="99"/>
      <c r="T436" s="99"/>
      <c r="U436" s="99"/>
      <c r="V436" s="99">
        <v>15914460.880000001</v>
      </c>
      <c r="W436" s="99"/>
      <c r="X436" s="99">
        <v>6730160.04</v>
      </c>
      <c r="Y436" s="99"/>
      <c r="Z436" s="99">
        <v>318289.21999999997</v>
      </c>
      <c r="AA436" s="99">
        <f>SUM(V436+X436+Z436)</f>
        <v>22962910.140000001</v>
      </c>
      <c r="AB436" s="99"/>
      <c r="AC436" s="99"/>
      <c r="AD436" s="99">
        <v>22962910.140000001</v>
      </c>
      <c r="AE436" s="101"/>
      <c r="AF436" s="96">
        <v>2020</v>
      </c>
      <c r="AG436" s="96">
        <v>2022</v>
      </c>
    </row>
    <row r="437" spans="1:33" ht="84.9" hidden="1" customHeight="1" x14ac:dyDescent="0.45">
      <c r="A437" s="96">
        <v>417</v>
      </c>
      <c r="B437" s="96" t="s">
        <v>587</v>
      </c>
      <c r="C437" s="96" t="s">
        <v>506</v>
      </c>
      <c r="D437" s="96">
        <v>1963</v>
      </c>
      <c r="E437" s="96">
        <v>5</v>
      </c>
      <c r="F437" s="96">
        <v>3</v>
      </c>
      <c r="G437" s="97">
        <v>3563.7</v>
      </c>
      <c r="H437" s="97">
        <v>3533.2</v>
      </c>
      <c r="I437" s="97">
        <v>3535.9</v>
      </c>
      <c r="J437" s="96">
        <v>196</v>
      </c>
      <c r="K437" s="96" t="s">
        <v>365</v>
      </c>
      <c r="L437" s="96" t="s">
        <v>366</v>
      </c>
      <c r="M437" s="96"/>
      <c r="N437" s="99">
        <f>ROUND(H437*616.25*1.015,2)</f>
        <v>2209994.52</v>
      </c>
      <c r="O437" s="99">
        <f>ROUND(H437*3349.66*1.015,2)</f>
        <v>12012543.99</v>
      </c>
      <c r="P437" s="99">
        <f>ROUND(H437*650.2*1.015,2)</f>
        <v>2331745.94</v>
      </c>
      <c r="Q437" s="99">
        <f>ROUND(H437*643.1*1.015,2)</f>
        <v>2306283.9300000002</v>
      </c>
      <c r="R437" s="99"/>
      <c r="S437" s="99">
        <f>ROUND(H437*644.55*1.015,2)</f>
        <v>2311483.92</v>
      </c>
      <c r="T437" s="99"/>
      <c r="U437" s="99"/>
      <c r="V437" s="99">
        <f>ROUND(H437*3517.3*1.015,2)</f>
        <v>12613734.23</v>
      </c>
      <c r="W437" s="99"/>
      <c r="X437" s="99"/>
      <c r="Y437" s="99"/>
      <c r="Z437" s="99">
        <v>1393012.7</v>
      </c>
      <c r="AA437" s="99">
        <f>SUM(N437+O437+P437+Q437+S437+V437+Z437)</f>
        <v>35178799.230000004</v>
      </c>
      <c r="AB437" s="99"/>
      <c r="AC437" s="99"/>
      <c r="AD437" s="99">
        <f>SUM(N437+O437+P437+Q437+S437+V437+Z437)</f>
        <v>35178799.230000004</v>
      </c>
      <c r="AE437" s="101"/>
      <c r="AF437" s="96" t="s">
        <v>507</v>
      </c>
      <c r="AG437" s="96" t="s">
        <v>850</v>
      </c>
    </row>
    <row r="438" spans="1:33" ht="84.9" hidden="1" customHeight="1" x14ac:dyDescent="0.45">
      <c r="A438" s="96">
        <v>418</v>
      </c>
      <c r="B438" s="96" t="s">
        <v>587</v>
      </c>
      <c r="C438" s="96" t="s">
        <v>508</v>
      </c>
      <c r="D438" s="96">
        <v>1962</v>
      </c>
      <c r="E438" s="96">
        <v>5</v>
      </c>
      <c r="F438" s="96">
        <v>3</v>
      </c>
      <c r="G438" s="97">
        <v>2565.1</v>
      </c>
      <c r="H438" s="97">
        <v>2532.8000000000002</v>
      </c>
      <c r="I438" s="97" t="s">
        <v>364</v>
      </c>
      <c r="J438" s="96" t="s">
        <v>364</v>
      </c>
      <c r="K438" s="96" t="s">
        <v>365</v>
      </c>
      <c r="L438" s="96" t="s">
        <v>366</v>
      </c>
      <c r="M438" s="96"/>
      <c r="N438" s="99"/>
      <c r="O438" s="99"/>
      <c r="P438" s="99"/>
      <c r="Q438" s="99"/>
      <c r="R438" s="99"/>
      <c r="S438" s="99"/>
      <c r="T438" s="99"/>
      <c r="U438" s="99"/>
      <c r="V438" s="99">
        <f>ROUND(3727.29*H438*1.015,2)</f>
        <v>9582087.3100000005</v>
      </c>
      <c r="W438" s="99"/>
      <c r="X438" s="99"/>
      <c r="Y438" s="99"/>
      <c r="Z438" s="99">
        <v>315469.21000000002</v>
      </c>
      <c r="AA438" s="99">
        <f>SUM(V438+Z438)</f>
        <v>9897556.5200000014</v>
      </c>
      <c r="AB438" s="99"/>
      <c r="AC438" s="99"/>
      <c r="AD438" s="99">
        <f>SUM(N438:Z438)</f>
        <v>9897556.5200000014</v>
      </c>
      <c r="AE438" s="101"/>
      <c r="AF438" s="96">
        <v>2020</v>
      </c>
      <c r="AG438" s="96">
        <v>2022</v>
      </c>
    </row>
    <row r="439" spans="1:33" ht="84.9" hidden="1" customHeight="1" x14ac:dyDescent="0.45">
      <c r="A439" s="96">
        <v>419</v>
      </c>
      <c r="B439" s="96" t="s">
        <v>587</v>
      </c>
      <c r="C439" s="96" t="s">
        <v>294</v>
      </c>
      <c r="D439" s="96">
        <v>1981</v>
      </c>
      <c r="E439" s="96">
        <v>9</v>
      </c>
      <c r="F439" s="96">
        <v>1</v>
      </c>
      <c r="G439" s="97">
        <v>2851.3</v>
      </c>
      <c r="H439" s="97">
        <v>2632.3</v>
      </c>
      <c r="I439" s="97">
        <v>2632.3</v>
      </c>
      <c r="J439" s="96">
        <v>104</v>
      </c>
      <c r="K439" s="96" t="s">
        <v>423</v>
      </c>
      <c r="L439" s="96" t="s">
        <v>366</v>
      </c>
      <c r="M439" s="96"/>
      <c r="N439" s="99"/>
      <c r="O439" s="99">
        <v>2377151.2400000002</v>
      </c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>
        <v>124000</v>
      </c>
      <c r="AA439" s="99">
        <f t="shared" ref="AA439:AA443" si="76">SUM(O439+Z439)</f>
        <v>2501151.2400000002</v>
      </c>
      <c r="AB439" s="99">
        <v>2501151.2400000002</v>
      </c>
      <c r="AC439" s="99"/>
      <c r="AD439" s="99"/>
      <c r="AE439" s="101"/>
      <c r="AF439" s="96">
        <v>2022</v>
      </c>
      <c r="AG439" s="96">
        <v>2022</v>
      </c>
    </row>
    <row r="440" spans="1:33" ht="84.9" hidden="1" customHeight="1" x14ac:dyDescent="0.45">
      <c r="A440" s="96">
        <v>420</v>
      </c>
      <c r="B440" s="96" t="s">
        <v>587</v>
      </c>
      <c r="C440" s="96" t="s">
        <v>295</v>
      </c>
      <c r="D440" s="96">
        <v>1981</v>
      </c>
      <c r="E440" s="96">
        <v>9</v>
      </c>
      <c r="F440" s="96">
        <v>4</v>
      </c>
      <c r="G440" s="97">
        <v>11792.6</v>
      </c>
      <c r="H440" s="97">
        <v>11474.3</v>
      </c>
      <c r="I440" s="97">
        <v>10921.1</v>
      </c>
      <c r="J440" s="96">
        <v>512</v>
      </c>
      <c r="K440" s="96" t="s">
        <v>365</v>
      </c>
      <c r="L440" s="96" t="s">
        <v>366</v>
      </c>
      <c r="M440" s="96"/>
      <c r="N440" s="99"/>
      <c r="O440" s="99">
        <v>4754302.4800000004</v>
      </c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>
        <v>248000</v>
      </c>
      <c r="AA440" s="99">
        <f t="shared" si="76"/>
        <v>5002302.4800000004</v>
      </c>
      <c r="AB440" s="99">
        <f>AA440</f>
        <v>5002302.4800000004</v>
      </c>
      <c r="AC440" s="99"/>
      <c r="AD440" s="99"/>
      <c r="AE440" s="101"/>
      <c r="AF440" s="96">
        <v>2022</v>
      </c>
      <c r="AG440" s="96">
        <v>2022</v>
      </c>
    </row>
    <row r="441" spans="1:33" ht="84.9" hidden="1" customHeight="1" x14ac:dyDescent="0.45">
      <c r="A441" s="96">
        <v>421</v>
      </c>
      <c r="B441" s="96" t="s">
        <v>587</v>
      </c>
      <c r="C441" s="96" t="s">
        <v>296</v>
      </c>
      <c r="D441" s="96">
        <v>1982</v>
      </c>
      <c r="E441" s="96">
        <v>9</v>
      </c>
      <c r="F441" s="96">
        <v>1</v>
      </c>
      <c r="G441" s="97">
        <v>2856.9</v>
      </c>
      <c r="H441" s="97">
        <v>2635.1</v>
      </c>
      <c r="I441" s="97">
        <v>2635.1</v>
      </c>
      <c r="J441" s="96">
        <v>112</v>
      </c>
      <c r="K441" s="96" t="s">
        <v>365</v>
      </c>
      <c r="L441" s="96" t="s">
        <v>366</v>
      </c>
      <c r="M441" s="96"/>
      <c r="N441" s="99"/>
      <c r="O441" s="99">
        <v>2377151.2400000002</v>
      </c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>
        <v>124000</v>
      </c>
      <c r="AA441" s="99">
        <f t="shared" si="76"/>
        <v>2501151.2400000002</v>
      </c>
      <c r="AB441" s="99">
        <v>2501151.2400000002</v>
      </c>
      <c r="AC441" s="99"/>
      <c r="AD441" s="99"/>
      <c r="AE441" s="101"/>
      <c r="AF441" s="96">
        <v>2022</v>
      </c>
      <c r="AG441" s="96">
        <v>2022</v>
      </c>
    </row>
    <row r="442" spans="1:33" ht="84.9" hidden="1" customHeight="1" x14ac:dyDescent="0.45">
      <c r="A442" s="96">
        <v>422</v>
      </c>
      <c r="B442" s="96" t="s">
        <v>587</v>
      </c>
      <c r="C442" s="96" t="s">
        <v>297</v>
      </c>
      <c r="D442" s="96">
        <v>1982</v>
      </c>
      <c r="E442" s="96">
        <v>9</v>
      </c>
      <c r="F442" s="96">
        <v>1</v>
      </c>
      <c r="G442" s="97">
        <v>1769.9</v>
      </c>
      <c r="H442" s="97">
        <v>1223.5999999999999</v>
      </c>
      <c r="I442" s="97">
        <v>1223.5999999999999</v>
      </c>
      <c r="J442" s="96">
        <v>57</v>
      </c>
      <c r="K442" s="96" t="s">
        <v>365</v>
      </c>
      <c r="L442" s="96" t="s">
        <v>366</v>
      </c>
      <c r="M442" s="96"/>
      <c r="N442" s="99"/>
      <c r="O442" s="99">
        <v>2377151.2400000002</v>
      </c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>
        <v>124000</v>
      </c>
      <c r="AA442" s="99">
        <f t="shared" si="76"/>
        <v>2501151.2400000002</v>
      </c>
      <c r="AB442" s="99">
        <v>2501151.2400000002</v>
      </c>
      <c r="AC442" s="99"/>
      <c r="AD442" s="99"/>
      <c r="AE442" s="101"/>
      <c r="AF442" s="96">
        <v>2022</v>
      </c>
      <c r="AG442" s="96">
        <v>2022</v>
      </c>
    </row>
    <row r="443" spans="1:33" ht="84.9" hidden="1" customHeight="1" x14ac:dyDescent="0.45">
      <c r="A443" s="96">
        <v>423</v>
      </c>
      <c r="B443" s="96" t="s">
        <v>587</v>
      </c>
      <c r="C443" s="96" t="s">
        <v>298</v>
      </c>
      <c r="D443" s="96">
        <v>1981</v>
      </c>
      <c r="E443" s="96">
        <v>9</v>
      </c>
      <c r="F443" s="96">
        <v>2</v>
      </c>
      <c r="G443" s="97">
        <v>3877.8</v>
      </c>
      <c r="H443" s="97">
        <v>3830.8</v>
      </c>
      <c r="I443" s="97">
        <v>3830.8</v>
      </c>
      <c r="J443" s="96">
        <v>192</v>
      </c>
      <c r="K443" s="96" t="s">
        <v>365</v>
      </c>
      <c r="L443" s="96" t="s">
        <v>366</v>
      </c>
      <c r="M443" s="96"/>
      <c r="N443" s="99"/>
      <c r="O443" s="99">
        <v>2377151.2400000002</v>
      </c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>
        <v>124000</v>
      </c>
      <c r="AA443" s="99">
        <f t="shared" si="76"/>
        <v>2501151.2400000002</v>
      </c>
      <c r="AB443" s="99">
        <v>2501151.2400000002</v>
      </c>
      <c r="AC443" s="99"/>
      <c r="AD443" s="99"/>
      <c r="AE443" s="101"/>
      <c r="AF443" s="96">
        <v>2022</v>
      </c>
      <c r="AG443" s="96">
        <v>2022</v>
      </c>
    </row>
    <row r="444" spans="1:33" ht="84.9" hidden="1" customHeight="1" x14ac:dyDescent="0.45">
      <c r="A444" s="96">
        <v>424</v>
      </c>
      <c r="B444" s="96" t="s">
        <v>587</v>
      </c>
      <c r="C444" s="96" t="s">
        <v>510</v>
      </c>
      <c r="D444" s="96">
        <v>1965</v>
      </c>
      <c r="E444" s="96">
        <v>5</v>
      </c>
      <c r="F444" s="96">
        <v>2</v>
      </c>
      <c r="G444" s="97">
        <v>1614.1</v>
      </c>
      <c r="H444" s="97">
        <v>1481.6</v>
      </c>
      <c r="I444" s="97">
        <v>1481.8</v>
      </c>
      <c r="J444" s="96">
        <v>71</v>
      </c>
      <c r="K444" s="96" t="s">
        <v>365</v>
      </c>
      <c r="L444" s="96" t="s">
        <v>366</v>
      </c>
      <c r="M444" s="96"/>
      <c r="N444" s="99"/>
      <c r="O444" s="99"/>
      <c r="P444" s="99"/>
      <c r="Q444" s="99"/>
      <c r="R444" s="99"/>
      <c r="S444" s="99"/>
      <c r="T444" s="99"/>
      <c r="U444" s="99"/>
      <c r="V444" s="99">
        <f>ROUND(H444*3617.12*1.015,2)</f>
        <v>5439511.8700000001</v>
      </c>
      <c r="W444" s="99"/>
      <c r="X444" s="99"/>
      <c r="Y444" s="99"/>
      <c r="Z444" s="99">
        <v>626259.69999999995</v>
      </c>
      <c r="AA444" s="99">
        <f>SUM(V444+Z444)</f>
        <v>6065771.5700000003</v>
      </c>
      <c r="AB444" s="99"/>
      <c r="AC444" s="99"/>
      <c r="AD444" s="99">
        <f>SUM(V444+Z444)</f>
        <v>6065771.5700000003</v>
      </c>
      <c r="AE444" s="101"/>
      <c r="AF444" s="96">
        <v>2022</v>
      </c>
      <c r="AG444" s="96">
        <v>2022</v>
      </c>
    </row>
    <row r="445" spans="1:33" ht="84.9" hidden="1" customHeight="1" x14ac:dyDescent="0.45">
      <c r="A445" s="96">
        <v>425</v>
      </c>
      <c r="B445" s="96" t="s">
        <v>587</v>
      </c>
      <c r="C445" s="96" t="s">
        <v>299</v>
      </c>
      <c r="D445" s="96">
        <v>1977</v>
      </c>
      <c r="E445" s="96">
        <v>9</v>
      </c>
      <c r="F445" s="96">
        <v>2</v>
      </c>
      <c r="G445" s="97">
        <v>3501</v>
      </c>
      <c r="H445" s="97">
        <v>3500.7</v>
      </c>
      <c r="I445" s="97">
        <v>3500.7</v>
      </c>
      <c r="J445" s="96">
        <v>159</v>
      </c>
      <c r="K445" s="96" t="s">
        <v>365</v>
      </c>
      <c r="L445" s="96" t="s">
        <v>366</v>
      </c>
      <c r="M445" s="96"/>
      <c r="N445" s="99"/>
      <c r="O445" s="99">
        <v>4754302.4800000004</v>
      </c>
      <c r="P445" s="99"/>
      <c r="Q445" s="99"/>
      <c r="R445" s="99"/>
      <c r="S445" s="99"/>
      <c r="T445" s="99"/>
      <c r="U445" s="99">
        <v>3702831.57</v>
      </c>
      <c r="V445" s="99"/>
      <c r="W445" s="99"/>
      <c r="X445" s="99"/>
      <c r="Y445" s="99"/>
      <c r="Z445" s="99">
        <v>399890.08</v>
      </c>
      <c r="AA445" s="99">
        <f t="shared" ref="AA445:AA450" si="77">SUM(O445:Z445)</f>
        <v>8857024.1300000008</v>
      </c>
      <c r="AB445" s="99">
        <v>5002302.4800000004</v>
      </c>
      <c r="AC445" s="99"/>
      <c r="AD445" s="99">
        <v>3854721.65</v>
      </c>
      <c r="AE445" s="101"/>
      <c r="AF445" s="96">
        <v>2022</v>
      </c>
      <c r="AG445" s="96">
        <v>2022</v>
      </c>
    </row>
    <row r="446" spans="1:33" ht="84.9" hidden="1" customHeight="1" x14ac:dyDescent="0.45">
      <c r="A446" s="96">
        <v>426</v>
      </c>
      <c r="B446" s="96" t="s">
        <v>587</v>
      </c>
      <c r="C446" s="96" t="s">
        <v>300</v>
      </c>
      <c r="D446" s="96">
        <v>1977</v>
      </c>
      <c r="E446" s="96">
        <v>9</v>
      </c>
      <c r="F446" s="96">
        <v>2</v>
      </c>
      <c r="G446" s="97">
        <v>3483</v>
      </c>
      <c r="H446" s="97">
        <v>3482.5</v>
      </c>
      <c r="I446" s="97">
        <v>3482.5</v>
      </c>
      <c r="J446" s="96">
        <v>150</v>
      </c>
      <c r="K446" s="96" t="s">
        <v>365</v>
      </c>
      <c r="L446" s="96" t="s">
        <v>366</v>
      </c>
      <c r="M446" s="96"/>
      <c r="N446" s="99"/>
      <c r="O446" s="99">
        <v>4754302.4800000004</v>
      </c>
      <c r="P446" s="99"/>
      <c r="Q446" s="99"/>
      <c r="R446" s="99"/>
      <c r="S446" s="99"/>
      <c r="T446" s="99"/>
      <c r="U446" s="99">
        <v>3702831.57</v>
      </c>
      <c r="V446" s="99"/>
      <c r="W446" s="99"/>
      <c r="X446" s="99"/>
      <c r="Y446" s="99"/>
      <c r="Z446" s="99">
        <v>399890.08</v>
      </c>
      <c r="AA446" s="99">
        <f t="shared" si="77"/>
        <v>8857024.1300000008</v>
      </c>
      <c r="AB446" s="99">
        <v>5002302.4800000004</v>
      </c>
      <c r="AC446" s="99"/>
      <c r="AD446" s="99">
        <v>3854721.65</v>
      </c>
      <c r="AE446" s="101"/>
      <c r="AF446" s="96">
        <v>2022</v>
      </c>
      <c r="AG446" s="96">
        <v>2022</v>
      </c>
    </row>
    <row r="447" spans="1:33" ht="84.9" hidden="1" customHeight="1" x14ac:dyDescent="0.45">
      <c r="A447" s="96">
        <v>427</v>
      </c>
      <c r="B447" s="96" t="s">
        <v>587</v>
      </c>
      <c r="C447" s="96" t="s">
        <v>301</v>
      </c>
      <c r="D447" s="96">
        <v>1977</v>
      </c>
      <c r="E447" s="96">
        <v>9</v>
      </c>
      <c r="F447" s="96">
        <v>2</v>
      </c>
      <c r="G447" s="97">
        <v>3466</v>
      </c>
      <c r="H447" s="97">
        <v>3465.9</v>
      </c>
      <c r="I447" s="97">
        <v>3465.9</v>
      </c>
      <c r="J447" s="96">
        <v>160</v>
      </c>
      <c r="K447" s="96" t="s">
        <v>365</v>
      </c>
      <c r="L447" s="96" t="s">
        <v>366</v>
      </c>
      <c r="M447" s="96"/>
      <c r="N447" s="99"/>
      <c r="O447" s="99">
        <v>4754302.4800000004</v>
      </c>
      <c r="P447" s="99"/>
      <c r="Q447" s="99"/>
      <c r="R447" s="99"/>
      <c r="S447" s="99"/>
      <c r="T447" s="99"/>
      <c r="U447" s="99">
        <v>3702831.57</v>
      </c>
      <c r="V447" s="99"/>
      <c r="W447" s="99"/>
      <c r="X447" s="99"/>
      <c r="Y447" s="99"/>
      <c r="Z447" s="99">
        <v>399890.08</v>
      </c>
      <c r="AA447" s="99">
        <f t="shared" si="77"/>
        <v>8857024.1300000008</v>
      </c>
      <c r="AB447" s="99">
        <v>5002302.4800000004</v>
      </c>
      <c r="AC447" s="99"/>
      <c r="AD447" s="99">
        <v>3854721.65</v>
      </c>
      <c r="AE447" s="101"/>
      <c r="AF447" s="96">
        <v>2022</v>
      </c>
      <c r="AG447" s="96">
        <v>2022</v>
      </c>
    </row>
    <row r="448" spans="1:33" ht="84.9" hidden="1" customHeight="1" x14ac:dyDescent="0.45">
      <c r="A448" s="96">
        <v>428</v>
      </c>
      <c r="B448" s="96" t="s">
        <v>587</v>
      </c>
      <c r="C448" s="96" t="s">
        <v>302</v>
      </c>
      <c r="D448" s="96">
        <v>1977</v>
      </c>
      <c r="E448" s="96">
        <v>9</v>
      </c>
      <c r="F448" s="96">
        <v>3</v>
      </c>
      <c r="G448" s="97">
        <v>5240.3</v>
      </c>
      <c r="H448" s="97">
        <v>5240.3</v>
      </c>
      <c r="I448" s="97">
        <v>5240.3</v>
      </c>
      <c r="J448" s="96">
        <v>246</v>
      </c>
      <c r="K448" s="96" t="s">
        <v>365</v>
      </c>
      <c r="L448" s="96" t="s">
        <v>366</v>
      </c>
      <c r="M448" s="96"/>
      <c r="N448" s="99"/>
      <c r="O448" s="99">
        <v>7131453.7199999997</v>
      </c>
      <c r="P448" s="99"/>
      <c r="Q448" s="99"/>
      <c r="R448" s="99"/>
      <c r="S448" s="99"/>
      <c r="T448" s="99"/>
      <c r="U448" s="99">
        <v>5554247.3499999996</v>
      </c>
      <c r="V448" s="99"/>
      <c r="W448" s="99"/>
      <c r="X448" s="99"/>
      <c r="Y448" s="99"/>
      <c r="Z448" s="99">
        <v>599835.12</v>
      </c>
      <c r="AA448" s="99">
        <f t="shared" si="77"/>
        <v>13285536.189999999</v>
      </c>
      <c r="AB448" s="99">
        <v>7503453.7199999997</v>
      </c>
      <c r="AC448" s="99"/>
      <c r="AD448" s="99">
        <v>5782082.4699999997</v>
      </c>
      <c r="AE448" s="101"/>
      <c r="AF448" s="96">
        <v>2022</v>
      </c>
      <c r="AG448" s="96">
        <v>2022</v>
      </c>
    </row>
    <row r="449" spans="1:33" ht="84.9" hidden="1" customHeight="1" x14ac:dyDescent="0.45">
      <c r="A449" s="96">
        <v>429</v>
      </c>
      <c r="B449" s="96" t="s">
        <v>587</v>
      </c>
      <c r="C449" s="96" t="s">
        <v>303</v>
      </c>
      <c r="D449" s="96">
        <v>1978</v>
      </c>
      <c r="E449" s="96">
        <v>9</v>
      </c>
      <c r="F449" s="96">
        <v>5</v>
      </c>
      <c r="G449" s="97">
        <v>8780.2999999999993</v>
      </c>
      <c r="H449" s="97">
        <v>8780.2999999999993</v>
      </c>
      <c r="I449" s="97">
        <v>8780.2999999999993</v>
      </c>
      <c r="J449" s="96">
        <v>412</v>
      </c>
      <c r="K449" s="96"/>
      <c r="L449" s="96" t="s">
        <v>366</v>
      </c>
      <c r="M449" s="96"/>
      <c r="N449" s="99"/>
      <c r="O449" s="99">
        <v>11885756.199999999</v>
      </c>
      <c r="P449" s="99"/>
      <c r="Q449" s="99"/>
      <c r="R449" s="99"/>
      <c r="S449" s="99"/>
      <c r="T449" s="99"/>
      <c r="U449" s="99">
        <v>9257078.9199999999</v>
      </c>
      <c r="V449" s="99"/>
      <c r="W449" s="99"/>
      <c r="X449" s="99"/>
      <c r="Y449" s="99"/>
      <c r="Z449" s="99">
        <v>999725.5</v>
      </c>
      <c r="AA449" s="99">
        <f t="shared" si="77"/>
        <v>22142560.619999997</v>
      </c>
      <c r="AB449" s="99">
        <f>O449+620000</f>
        <v>12505756.199999999</v>
      </c>
      <c r="AC449" s="99"/>
      <c r="AD449" s="99">
        <f>U449+379725.5</f>
        <v>9636804.4199999999</v>
      </c>
      <c r="AE449" s="101"/>
      <c r="AF449" s="96">
        <v>2022</v>
      </c>
      <c r="AG449" s="96">
        <v>2022</v>
      </c>
    </row>
    <row r="450" spans="1:33" ht="84.9" hidden="1" customHeight="1" x14ac:dyDescent="0.45">
      <c r="A450" s="96">
        <v>430</v>
      </c>
      <c r="B450" s="96" t="s">
        <v>587</v>
      </c>
      <c r="C450" s="96" t="s">
        <v>304</v>
      </c>
      <c r="D450" s="96">
        <v>1979</v>
      </c>
      <c r="E450" s="96">
        <v>9</v>
      </c>
      <c r="F450" s="96">
        <v>3</v>
      </c>
      <c r="G450" s="97">
        <v>5706.6</v>
      </c>
      <c r="H450" s="97">
        <v>5706.6</v>
      </c>
      <c r="I450" s="97">
        <v>5706.6</v>
      </c>
      <c r="J450" s="96" t="s">
        <v>364</v>
      </c>
      <c r="K450" s="96"/>
      <c r="L450" s="96" t="s">
        <v>366</v>
      </c>
      <c r="M450" s="96"/>
      <c r="N450" s="99"/>
      <c r="O450" s="99">
        <v>7131453.7199999997</v>
      </c>
      <c r="P450" s="99"/>
      <c r="Q450" s="99"/>
      <c r="R450" s="99"/>
      <c r="S450" s="99"/>
      <c r="T450" s="99"/>
      <c r="U450" s="99">
        <v>5554247.3499999996</v>
      </c>
      <c r="V450" s="99"/>
      <c r="W450" s="99"/>
      <c r="X450" s="99"/>
      <c r="Y450" s="99"/>
      <c r="Z450" s="99">
        <v>599835.12</v>
      </c>
      <c r="AA450" s="99">
        <f t="shared" si="77"/>
        <v>13285536.189999999</v>
      </c>
      <c r="AB450" s="99">
        <v>7503453.7199999997</v>
      </c>
      <c r="AC450" s="99"/>
      <c r="AD450" s="99">
        <v>5782082.4699999997</v>
      </c>
      <c r="AE450" s="101"/>
      <c r="AF450" s="96">
        <v>2022</v>
      </c>
      <c r="AG450" s="96">
        <v>2022</v>
      </c>
    </row>
    <row r="451" spans="1:33" ht="84.9" hidden="1" customHeight="1" x14ac:dyDescent="0.45">
      <c r="A451" s="96">
        <v>431</v>
      </c>
      <c r="B451" s="96" t="s">
        <v>587</v>
      </c>
      <c r="C451" s="96" t="s">
        <v>512</v>
      </c>
      <c r="D451" s="96">
        <v>1962</v>
      </c>
      <c r="E451" s="96">
        <v>5</v>
      </c>
      <c r="F451" s="96">
        <v>3</v>
      </c>
      <c r="G451" s="97">
        <v>2742.6</v>
      </c>
      <c r="H451" s="97">
        <v>2431.1</v>
      </c>
      <c r="I451" s="97">
        <v>2431.1</v>
      </c>
      <c r="J451" s="96">
        <v>107</v>
      </c>
      <c r="K451" s="96" t="s">
        <v>365</v>
      </c>
      <c r="L451" s="96" t="s">
        <v>366</v>
      </c>
      <c r="M451" s="96"/>
      <c r="N451" s="99"/>
      <c r="O451" s="99"/>
      <c r="P451" s="99"/>
      <c r="Q451" s="99"/>
      <c r="R451" s="99"/>
      <c r="S451" s="99"/>
      <c r="T451" s="99"/>
      <c r="U451" s="99"/>
      <c r="V451" s="99">
        <f>ROUND(H451*3727.29*1.015,2)</f>
        <v>9197335.9399999995</v>
      </c>
      <c r="W451" s="99"/>
      <c r="X451" s="99"/>
      <c r="Y451" s="99"/>
      <c r="Z451" s="99">
        <v>543684.88</v>
      </c>
      <c r="AA451" s="99">
        <f t="shared" ref="AA451:AA456" si="78">SUM(V451+Z451)</f>
        <v>9741020.8200000003</v>
      </c>
      <c r="AB451" s="99"/>
      <c r="AC451" s="99"/>
      <c r="AD451" s="99">
        <f t="shared" ref="AD451:AD456" si="79">SUM(V451+Z451)</f>
        <v>9741020.8200000003</v>
      </c>
      <c r="AE451" s="101"/>
      <c r="AF451" s="96">
        <v>2022</v>
      </c>
      <c r="AG451" s="96">
        <v>2022</v>
      </c>
    </row>
    <row r="452" spans="1:33" ht="84.9" hidden="1" customHeight="1" x14ac:dyDescent="0.45">
      <c r="A452" s="96">
        <v>432</v>
      </c>
      <c r="B452" s="96" t="s">
        <v>587</v>
      </c>
      <c r="C452" s="96" t="s">
        <v>513</v>
      </c>
      <c r="D452" s="96">
        <v>1953</v>
      </c>
      <c r="E452" s="96">
        <v>4</v>
      </c>
      <c r="F452" s="96">
        <v>3</v>
      </c>
      <c r="G452" s="97">
        <v>1621.2</v>
      </c>
      <c r="H452" s="97">
        <f>1040+438.8</f>
        <v>1478.8</v>
      </c>
      <c r="I452" s="97" t="s">
        <v>364</v>
      </c>
      <c r="J452" s="96" t="s">
        <v>364</v>
      </c>
      <c r="K452" s="96" t="s">
        <v>365</v>
      </c>
      <c r="L452" s="96" t="s">
        <v>366</v>
      </c>
      <c r="M452" s="96"/>
      <c r="N452" s="99"/>
      <c r="O452" s="99"/>
      <c r="P452" s="99"/>
      <c r="Q452" s="99"/>
      <c r="R452" s="99"/>
      <c r="S452" s="99"/>
      <c r="T452" s="99"/>
      <c r="U452" s="99"/>
      <c r="V452" s="99"/>
      <c r="W452" s="99">
        <f>ROUND(H452*1954.25*1.015,2)</f>
        <v>2933294.07</v>
      </c>
      <c r="X452" s="99"/>
      <c r="Y452" s="99"/>
      <c r="Z452" s="99">
        <v>7014.9</v>
      </c>
      <c r="AA452" s="99">
        <f>SUM(W452+Z452)</f>
        <v>2940308.9699999997</v>
      </c>
      <c r="AB452" s="99"/>
      <c r="AC452" s="99"/>
      <c r="AD452" s="99">
        <f>AA452</f>
        <v>2940308.9699999997</v>
      </c>
      <c r="AE452" s="101"/>
      <c r="AF452" s="96">
        <v>2020</v>
      </c>
      <c r="AG452" s="96">
        <v>2022</v>
      </c>
    </row>
    <row r="453" spans="1:33" ht="84.9" hidden="1" customHeight="1" x14ac:dyDescent="0.45">
      <c r="A453" s="96">
        <v>433</v>
      </c>
      <c r="B453" s="96" t="s">
        <v>587</v>
      </c>
      <c r="C453" s="96" t="s">
        <v>514</v>
      </c>
      <c r="D453" s="96">
        <v>1959</v>
      </c>
      <c r="E453" s="96">
        <v>3</v>
      </c>
      <c r="F453" s="96">
        <v>2</v>
      </c>
      <c r="G453" s="97">
        <v>1324.4</v>
      </c>
      <c r="H453" s="97">
        <f>990.4+225.4</f>
        <v>1215.8</v>
      </c>
      <c r="I453" s="97">
        <v>703.5</v>
      </c>
      <c r="J453" s="96">
        <v>31</v>
      </c>
      <c r="K453" s="96" t="s">
        <v>365</v>
      </c>
      <c r="L453" s="96" t="s">
        <v>366</v>
      </c>
      <c r="M453" s="96"/>
      <c r="N453" s="99"/>
      <c r="O453" s="99"/>
      <c r="P453" s="99"/>
      <c r="Q453" s="99"/>
      <c r="R453" s="99"/>
      <c r="S453" s="99"/>
      <c r="T453" s="99"/>
      <c r="U453" s="99"/>
      <c r="V453" s="99">
        <f>ROUND(H453*5975.33*1.015,2)</f>
        <v>7373778.3099999996</v>
      </c>
      <c r="W453" s="99"/>
      <c r="X453" s="99"/>
      <c r="Y453" s="99"/>
      <c r="Z453" s="99">
        <v>310356.7</v>
      </c>
      <c r="AA453" s="99">
        <f t="shared" si="78"/>
        <v>7684135.0099999998</v>
      </c>
      <c r="AB453" s="99"/>
      <c r="AC453" s="99"/>
      <c r="AD453" s="99">
        <f t="shared" si="79"/>
        <v>7684135.0099999998</v>
      </c>
      <c r="AE453" s="101"/>
      <c r="AF453" s="96">
        <v>2022</v>
      </c>
      <c r="AG453" s="96">
        <v>2022</v>
      </c>
    </row>
    <row r="454" spans="1:33" ht="84.9" hidden="1" customHeight="1" x14ac:dyDescent="0.45">
      <c r="A454" s="96">
        <v>434</v>
      </c>
      <c r="B454" s="96" t="s">
        <v>587</v>
      </c>
      <c r="C454" s="96" t="s">
        <v>305</v>
      </c>
      <c r="D454" s="96" t="s">
        <v>515</v>
      </c>
      <c r="E454" s="96">
        <v>9</v>
      </c>
      <c r="F454" s="96">
        <v>3</v>
      </c>
      <c r="G454" s="97">
        <v>5200</v>
      </c>
      <c r="H454" s="97">
        <v>5196.8</v>
      </c>
      <c r="I454" s="97">
        <v>5064.8</v>
      </c>
      <c r="J454" s="96">
        <v>270</v>
      </c>
      <c r="K454" s="96" t="s">
        <v>365</v>
      </c>
      <c r="L454" s="96" t="s">
        <v>366</v>
      </c>
      <c r="M454" s="96"/>
      <c r="N454" s="99"/>
      <c r="O454" s="99">
        <v>7131453.7199999997</v>
      </c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>
        <v>372000</v>
      </c>
      <c r="AA454" s="99">
        <f>SUM(O454+Z454)</f>
        <v>7503453.7199999997</v>
      </c>
      <c r="AB454" s="99">
        <f>AA454</f>
        <v>7503453.7199999997</v>
      </c>
      <c r="AC454" s="99"/>
      <c r="AD454" s="99"/>
      <c r="AE454" s="101"/>
      <c r="AF454" s="96">
        <v>2022</v>
      </c>
      <c r="AG454" s="96">
        <v>2022</v>
      </c>
    </row>
    <row r="455" spans="1:33" ht="84.9" hidden="1" customHeight="1" x14ac:dyDescent="0.45">
      <c r="A455" s="96">
        <v>435</v>
      </c>
      <c r="B455" s="96" t="s">
        <v>587</v>
      </c>
      <c r="C455" s="96" t="s">
        <v>516</v>
      </c>
      <c r="D455" s="96">
        <v>1956</v>
      </c>
      <c r="E455" s="96">
        <v>5</v>
      </c>
      <c r="F455" s="96">
        <v>2</v>
      </c>
      <c r="G455" s="97">
        <v>3169.3</v>
      </c>
      <c r="H455" s="97">
        <f>1669.8+1305.9</f>
        <v>2975.7</v>
      </c>
      <c r="I455" s="97" t="s">
        <v>364</v>
      </c>
      <c r="J455" s="96" t="s">
        <v>364</v>
      </c>
      <c r="K455" s="96" t="s">
        <v>365</v>
      </c>
      <c r="L455" s="96" t="s">
        <v>366</v>
      </c>
      <c r="M455" s="96"/>
      <c r="N455" s="99"/>
      <c r="O455" s="99"/>
      <c r="P455" s="99"/>
      <c r="Q455" s="99"/>
      <c r="R455" s="99"/>
      <c r="S455" s="99"/>
      <c r="T455" s="99"/>
      <c r="U455" s="99"/>
      <c r="V455" s="99">
        <f>ROUND(3855.19*H455*1.015,2)</f>
        <v>11643967.220000001</v>
      </c>
      <c r="W455" s="99"/>
      <c r="X455" s="99"/>
      <c r="Y455" s="99"/>
      <c r="Z455" s="99">
        <v>486116.38</v>
      </c>
      <c r="AA455" s="99">
        <f t="shared" si="78"/>
        <v>12130083.600000001</v>
      </c>
      <c r="AB455" s="99"/>
      <c r="AC455" s="99"/>
      <c r="AD455" s="99">
        <f>SUM(N455:Z455)</f>
        <v>12130083.600000001</v>
      </c>
      <c r="AE455" s="101"/>
      <c r="AF455" s="96">
        <v>2020</v>
      </c>
      <c r="AG455" s="96">
        <v>2022</v>
      </c>
    </row>
    <row r="456" spans="1:33" ht="84.9" hidden="1" customHeight="1" x14ac:dyDescent="0.45">
      <c r="A456" s="96">
        <v>436</v>
      </c>
      <c r="B456" s="96" t="s">
        <v>587</v>
      </c>
      <c r="C456" s="96" t="s">
        <v>517</v>
      </c>
      <c r="D456" s="96">
        <v>1957</v>
      </c>
      <c r="E456" s="96">
        <v>5</v>
      </c>
      <c r="F456" s="96">
        <v>9</v>
      </c>
      <c r="G456" s="97">
        <v>11300.71</v>
      </c>
      <c r="H456" s="97">
        <v>10366.1</v>
      </c>
      <c r="I456" s="97">
        <v>7571.6</v>
      </c>
      <c r="J456" s="96">
        <v>141</v>
      </c>
      <c r="K456" s="96" t="s">
        <v>365</v>
      </c>
      <c r="L456" s="96" t="s">
        <v>366</v>
      </c>
      <c r="M456" s="96"/>
      <c r="N456" s="99"/>
      <c r="O456" s="99"/>
      <c r="P456" s="99"/>
      <c r="Q456" s="99"/>
      <c r="R456" s="99"/>
      <c r="S456" s="99"/>
      <c r="T456" s="99"/>
      <c r="U456" s="99"/>
      <c r="V456" s="99">
        <f>ROUND(H456*3855.19*1.015,2)</f>
        <v>40562734.329999998</v>
      </c>
      <c r="W456" s="99"/>
      <c r="X456" s="99"/>
      <c r="Y456" s="99"/>
      <c r="Z456" s="99">
        <v>2327236.1</v>
      </c>
      <c r="AA456" s="99">
        <f t="shared" si="78"/>
        <v>42889970.43</v>
      </c>
      <c r="AB456" s="99"/>
      <c r="AC456" s="99"/>
      <c r="AD456" s="99">
        <f t="shared" si="79"/>
        <v>42889970.43</v>
      </c>
      <c r="AE456" s="101"/>
      <c r="AF456" s="96">
        <v>2022</v>
      </c>
      <c r="AG456" s="96">
        <v>2023</v>
      </c>
    </row>
    <row r="457" spans="1:33" ht="84.9" hidden="1" customHeight="1" x14ac:dyDescent="0.45">
      <c r="A457" s="96">
        <v>437</v>
      </c>
      <c r="B457" s="96" t="s">
        <v>587</v>
      </c>
      <c r="C457" s="96" t="s">
        <v>518</v>
      </c>
      <c r="D457" s="96">
        <v>1951</v>
      </c>
      <c r="E457" s="96">
        <v>2</v>
      </c>
      <c r="F457" s="96">
        <v>2</v>
      </c>
      <c r="G457" s="97">
        <v>954.8</v>
      </c>
      <c r="H457" s="97">
        <v>954.8</v>
      </c>
      <c r="I457" s="97">
        <v>592.20000000000005</v>
      </c>
      <c r="J457" s="96">
        <v>33</v>
      </c>
      <c r="K457" s="96" t="s">
        <v>460</v>
      </c>
      <c r="L457" s="96" t="s">
        <v>366</v>
      </c>
      <c r="M457" s="96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>
        <v>6280782.7699999996</v>
      </c>
      <c r="Y457" s="99"/>
      <c r="Z457" s="99"/>
      <c r="AA457" s="99">
        <f>X457</f>
        <v>6280782.7699999996</v>
      </c>
      <c r="AB457" s="99"/>
      <c r="AC457" s="99"/>
      <c r="AD457" s="99">
        <f>AA457</f>
        <v>6280782.7699999996</v>
      </c>
      <c r="AE457" s="101"/>
      <c r="AF457" s="96">
        <v>2022</v>
      </c>
      <c r="AG457" s="96">
        <v>2023</v>
      </c>
    </row>
    <row r="458" spans="1:33" ht="84.9" hidden="1" customHeight="1" x14ac:dyDescent="0.45">
      <c r="A458" s="96">
        <v>438</v>
      </c>
      <c r="B458" s="96" t="s">
        <v>587</v>
      </c>
      <c r="C458" s="96" t="s">
        <v>519</v>
      </c>
      <c r="D458" s="96">
        <v>1951</v>
      </c>
      <c r="E458" s="96">
        <v>3</v>
      </c>
      <c r="F458" s="96">
        <v>3</v>
      </c>
      <c r="G458" s="97">
        <v>1914.5</v>
      </c>
      <c r="H458" s="97">
        <v>1905.9</v>
      </c>
      <c r="I458" s="97" t="s">
        <v>364</v>
      </c>
      <c r="J458" s="96" t="s">
        <v>364</v>
      </c>
      <c r="K458" s="96" t="s">
        <v>423</v>
      </c>
      <c r="L458" s="96" t="s">
        <v>366</v>
      </c>
      <c r="M458" s="96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>
        <v>7432827.1299999999</v>
      </c>
      <c r="Y458" s="99"/>
      <c r="Z458" s="99">
        <v>619835.74</v>
      </c>
      <c r="AA458" s="99">
        <f>SUM(X458+Z458)</f>
        <v>8052662.8700000001</v>
      </c>
      <c r="AB458" s="99"/>
      <c r="AC458" s="99"/>
      <c r="AD458" s="99">
        <f>AA458</f>
        <v>8052662.8700000001</v>
      </c>
      <c r="AE458" s="101"/>
      <c r="AF458" s="96">
        <v>2022</v>
      </c>
      <c r="AG458" s="96">
        <v>2023</v>
      </c>
    </row>
    <row r="459" spans="1:33" ht="84.9" hidden="1" customHeight="1" x14ac:dyDescent="0.45">
      <c r="A459" s="96">
        <v>439</v>
      </c>
      <c r="B459" s="96" t="s">
        <v>587</v>
      </c>
      <c r="C459" s="96" t="s">
        <v>521</v>
      </c>
      <c r="D459" s="96">
        <v>1955</v>
      </c>
      <c r="E459" s="96">
        <v>4</v>
      </c>
      <c r="F459" s="96">
        <v>3</v>
      </c>
      <c r="G459" s="97">
        <v>2701.9</v>
      </c>
      <c r="H459" s="97">
        <f>1861.9+645.3</f>
        <v>2507.1999999999998</v>
      </c>
      <c r="I459" s="97">
        <v>1736.4</v>
      </c>
      <c r="J459" s="96">
        <v>51</v>
      </c>
      <c r="K459" s="96" t="s">
        <v>365</v>
      </c>
      <c r="L459" s="96" t="s">
        <v>366</v>
      </c>
      <c r="M459" s="96"/>
      <c r="N459" s="99"/>
      <c r="O459" s="99"/>
      <c r="P459" s="99"/>
      <c r="Q459" s="99"/>
      <c r="R459" s="99"/>
      <c r="S459" s="99"/>
      <c r="T459" s="99"/>
      <c r="U459" s="99"/>
      <c r="V459" s="99">
        <f>ROUND(H459*5975.33*1.015,2)</f>
        <v>15206067.59</v>
      </c>
      <c r="W459" s="99"/>
      <c r="X459" s="99"/>
      <c r="Y459" s="99"/>
      <c r="Z459" s="99">
        <v>852955.1</v>
      </c>
      <c r="AA459" s="99">
        <f>SUM(V459+Z459)</f>
        <v>16059022.689999999</v>
      </c>
      <c r="AB459" s="99"/>
      <c r="AC459" s="99"/>
      <c r="AD459" s="99">
        <f>SUM(V459+Z459)</f>
        <v>16059022.689999999</v>
      </c>
      <c r="AE459" s="101"/>
      <c r="AF459" s="96">
        <v>2022</v>
      </c>
      <c r="AG459" s="96">
        <v>2022</v>
      </c>
    </row>
    <row r="460" spans="1:33" ht="84.9" hidden="1" customHeight="1" x14ac:dyDescent="0.45">
      <c r="A460" s="96">
        <v>440</v>
      </c>
      <c r="B460" s="96" t="s">
        <v>587</v>
      </c>
      <c r="C460" s="96" t="s">
        <v>522</v>
      </c>
      <c r="D460" s="96">
        <v>1956</v>
      </c>
      <c r="E460" s="96">
        <v>2</v>
      </c>
      <c r="F460" s="96">
        <v>1</v>
      </c>
      <c r="G460" s="97">
        <v>711.6</v>
      </c>
      <c r="H460" s="97">
        <f>458.7+205.6</f>
        <v>664.3</v>
      </c>
      <c r="I460" s="97">
        <v>323.5</v>
      </c>
      <c r="J460" s="96">
        <v>20</v>
      </c>
      <c r="K460" s="96" t="s">
        <v>365</v>
      </c>
      <c r="L460" s="96" t="s">
        <v>366</v>
      </c>
      <c r="M460" s="96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>
        <f>ROUND(H460*6480.9*1.015,2)</f>
        <v>4369840.8</v>
      </c>
      <c r="Y460" s="99"/>
      <c r="Z460" s="99">
        <v>258315.71</v>
      </c>
      <c r="AA460" s="99">
        <f>SUM(X460+Z460)</f>
        <v>4628156.51</v>
      </c>
      <c r="AB460" s="99"/>
      <c r="AC460" s="99"/>
      <c r="AD460" s="99">
        <f>SUM(X460+Z460)</f>
        <v>4628156.51</v>
      </c>
      <c r="AE460" s="101"/>
      <c r="AF460" s="96">
        <v>2022</v>
      </c>
      <c r="AG460" s="96">
        <v>2022</v>
      </c>
    </row>
    <row r="461" spans="1:33" ht="84.9" hidden="1" customHeight="1" x14ac:dyDescent="0.45">
      <c r="A461" s="96">
        <v>441</v>
      </c>
      <c r="B461" s="96" t="s">
        <v>587</v>
      </c>
      <c r="C461" s="96" t="s">
        <v>306</v>
      </c>
      <c r="D461" s="96" t="s">
        <v>408</v>
      </c>
      <c r="E461" s="96">
        <v>5</v>
      </c>
      <c r="F461" s="96">
        <v>8</v>
      </c>
      <c r="G461" s="97">
        <v>6414.5</v>
      </c>
      <c r="H461" s="97">
        <v>6414.6</v>
      </c>
      <c r="I461" s="97">
        <v>6400.6</v>
      </c>
      <c r="J461" s="96">
        <v>306</v>
      </c>
      <c r="K461" s="96" t="s">
        <v>365</v>
      </c>
      <c r="L461" s="96" t="s">
        <v>366</v>
      </c>
      <c r="M461" s="96"/>
      <c r="N461" s="99"/>
      <c r="O461" s="99">
        <v>2377151.2400000002</v>
      </c>
      <c r="P461" s="99"/>
      <c r="Q461" s="99"/>
      <c r="R461" s="99"/>
      <c r="S461" s="99"/>
      <c r="T461" s="99"/>
      <c r="U461" s="99"/>
      <c r="V461" s="99">
        <v>15132111.109999999</v>
      </c>
      <c r="W461" s="99"/>
      <c r="X461" s="99">
        <v>20640142.640000001</v>
      </c>
      <c r="Y461" s="99"/>
      <c r="Z461" s="99">
        <v>2591051.98</v>
      </c>
      <c r="AA461" s="99">
        <f t="shared" ref="AA461:AA466" si="80">SUM(O461+V461+X461+Z461)</f>
        <v>40740456.969999999</v>
      </c>
      <c r="AB461" s="99">
        <f t="shared" ref="AB461:AB463" si="81">AA461</f>
        <v>40740456.969999999</v>
      </c>
      <c r="AC461" s="99"/>
      <c r="AD461" s="99"/>
      <c r="AE461" s="101"/>
      <c r="AF461" s="96" t="s">
        <v>524</v>
      </c>
      <c r="AG461" s="96" t="s">
        <v>525</v>
      </c>
    </row>
    <row r="462" spans="1:33" ht="84.9" hidden="1" customHeight="1" x14ac:dyDescent="0.45">
      <c r="A462" s="96">
        <v>442</v>
      </c>
      <c r="B462" s="96" t="s">
        <v>587</v>
      </c>
      <c r="C462" s="96" t="s">
        <v>307</v>
      </c>
      <c r="D462" s="96" t="s">
        <v>408</v>
      </c>
      <c r="E462" s="96">
        <v>5</v>
      </c>
      <c r="F462" s="96">
        <v>8</v>
      </c>
      <c r="G462" s="97">
        <v>5783</v>
      </c>
      <c r="H462" s="97">
        <v>5786.1</v>
      </c>
      <c r="I462" s="97">
        <v>5772.4</v>
      </c>
      <c r="J462" s="96">
        <v>273</v>
      </c>
      <c r="K462" s="96" t="s">
        <v>365</v>
      </c>
      <c r="L462" s="96" t="s">
        <v>366</v>
      </c>
      <c r="M462" s="96"/>
      <c r="N462" s="99"/>
      <c r="O462" s="99">
        <v>2377151.2400000002</v>
      </c>
      <c r="P462" s="99"/>
      <c r="Q462" s="99"/>
      <c r="R462" s="99"/>
      <c r="S462" s="99"/>
      <c r="T462" s="99"/>
      <c r="U462" s="99"/>
      <c r="V462" s="99">
        <v>12804094.01</v>
      </c>
      <c r="W462" s="99"/>
      <c r="X462" s="99">
        <v>18617829.530000001</v>
      </c>
      <c r="Y462" s="99"/>
      <c r="Z462" s="99">
        <v>2291029.21</v>
      </c>
      <c r="AA462" s="99">
        <f t="shared" si="80"/>
        <v>36090103.990000002</v>
      </c>
      <c r="AB462" s="99">
        <f t="shared" si="81"/>
        <v>36090103.990000002</v>
      </c>
      <c r="AC462" s="99"/>
      <c r="AD462" s="99"/>
      <c r="AE462" s="101"/>
      <c r="AF462" s="96" t="s">
        <v>524</v>
      </c>
      <c r="AG462" s="96" t="s">
        <v>525</v>
      </c>
    </row>
    <row r="463" spans="1:33" ht="84.9" hidden="1" customHeight="1" x14ac:dyDescent="0.45">
      <c r="A463" s="96">
        <v>443</v>
      </c>
      <c r="B463" s="96" t="s">
        <v>587</v>
      </c>
      <c r="C463" s="96" t="s">
        <v>308</v>
      </c>
      <c r="D463" s="96">
        <v>1967</v>
      </c>
      <c r="E463" s="96">
        <v>5</v>
      </c>
      <c r="F463" s="96">
        <v>6</v>
      </c>
      <c r="G463" s="97">
        <v>4906</v>
      </c>
      <c r="H463" s="97">
        <v>4906</v>
      </c>
      <c r="I463" s="97">
        <v>4580.1000000000004</v>
      </c>
      <c r="J463" s="96">
        <v>224</v>
      </c>
      <c r="K463" s="96" t="s">
        <v>365</v>
      </c>
      <c r="L463" s="96" t="s">
        <v>366</v>
      </c>
      <c r="M463" s="96"/>
      <c r="N463" s="99"/>
      <c r="O463" s="99"/>
      <c r="P463" s="99"/>
      <c r="Q463" s="99"/>
      <c r="R463" s="99"/>
      <c r="S463" s="99"/>
      <c r="T463" s="99"/>
      <c r="U463" s="99"/>
      <c r="V463" s="99">
        <v>11503615.5</v>
      </c>
      <c r="W463" s="99"/>
      <c r="X463" s="99">
        <v>15785947.65</v>
      </c>
      <c r="Y463" s="99"/>
      <c r="Z463" s="99">
        <v>1882038.83</v>
      </c>
      <c r="AA463" s="99">
        <f>SUM(V463+X463+Z463)</f>
        <v>29171601.979999997</v>
      </c>
      <c r="AB463" s="99">
        <f t="shared" si="81"/>
        <v>29171601.979999997</v>
      </c>
      <c r="AC463" s="99"/>
      <c r="AD463" s="99"/>
      <c r="AE463" s="101"/>
      <c r="AF463" s="96">
        <v>2022</v>
      </c>
      <c r="AG463" s="96">
        <v>2023</v>
      </c>
    </row>
    <row r="464" spans="1:33" ht="84.9" hidden="1" customHeight="1" x14ac:dyDescent="0.45">
      <c r="A464" s="96">
        <v>444</v>
      </c>
      <c r="B464" s="96" t="s">
        <v>587</v>
      </c>
      <c r="C464" s="96" t="s">
        <v>309</v>
      </c>
      <c r="D464" s="96" t="s">
        <v>408</v>
      </c>
      <c r="E464" s="96">
        <v>5</v>
      </c>
      <c r="F464" s="96">
        <v>4</v>
      </c>
      <c r="G464" s="97">
        <v>2862.6</v>
      </c>
      <c r="H464" s="97">
        <v>2861.9</v>
      </c>
      <c r="I464" s="97">
        <v>2845.1</v>
      </c>
      <c r="J464" s="96">
        <v>137</v>
      </c>
      <c r="K464" s="96" t="s">
        <v>365</v>
      </c>
      <c r="L464" s="96" t="s">
        <v>366</v>
      </c>
      <c r="M464" s="96"/>
      <c r="N464" s="99"/>
      <c r="O464" s="99">
        <v>2377151.2400000002</v>
      </c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>
        <v>124000</v>
      </c>
      <c r="AA464" s="99">
        <f t="shared" ref="AA464:AA469" si="82">SUM(O464+Z464)</f>
        <v>2501151.2400000002</v>
      </c>
      <c r="AB464" s="99">
        <v>2501151.2400000002</v>
      </c>
      <c r="AC464" s="99"/>
      <c r="AD464" s="99"/>
      <c r="AE464" s="101"/>
      <c r="AF464" s="96">
        <v>2022</v>
      </c>
      <c r="AG464" s="96">
        <v>2022</v>
      </c>
    </row>
    <row r="465" spans="1:33" ht="84.9" hidden="1" customHeight="1" x14ac:dyDescent="0.45">
      <c r="A465" s="96">
        <v>445</v>
      </c>
      <c r="B465" s="96" t="s">
        <v>587</v>
      </c>
      <c r="C465" s="96" t="s">
        <v>310</v>
      </c>
      <c r="D465" s="96" t="s">
        <v>408</v>
      </c>
      <c r="E465" s="96">
        <v>5</v>
      </c>
      <c r="F465" s="96">
        <v>4</v>
      </c>
      <c r="G465" s="97">
        <v>2983.4</v>
      </c>
      <c r="H465" s="97">
        <v>2983.1</v>
      </c>
      <c r="I465" s="97">
        <v>2966.3</v>
      </c>
      <c r="J465" s="96">
        <v>137</v>
      </c>
      <c r="K465" s="96" t="s">
        <v>365</v>
      </c>
      <c r="L465" s="96" t="s">
        <v>366</v>
      </c>
      <c r="M465" s="96"/>
      <c r="N465" s="99"/>
      <c r="O465" s="99">
        <v>2377151.2400000002</v>
      </c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>
        <v>124000</v>
      </c>
      <c r="AA465" s="99">
        <f t="shared" si="82"/>
        <v>2501151.2400000002</v>
      </c>
      <c r="AB465" s="99">
        <v>2501151.2400000002</v>
      </c>
      <c r="AC465" s="99"/>
      <c r="AD465" s="99"/>
      <c r="AE465" s="101"/>
      <c r="AF465" s="96">
        <v>2022</v>
      </c>
      <c r="AG465" s="96">
        <v>2022</v>
      </c>
    </row>
    <row r="466" spans="1:33" ht="84.9" hidden="1" customHeight="1" x14ac:dyDescent="0.45">
      <c r="A466" s="96">
        <v>446</v>
      </c>
      <c r="B466" s="96" t="s">
        <v>587</v>
      </c>
      <c r="C466" s="96" t="s">
        <v>311</v>
      </c>
      <c r="D466" s="96">
        <v>1968</v>
      </c>
      <c r="E466" s="96">
        <v>5</v>
      </c>
      <c r="F466" s="96">
        <v>8</v>
      </c>
      <c r="G466" s="97">
        <v>6149.5</v>
      </c>
      <c r="H466" s="97">
        <v>6146.1</v>
      </c>
      <c r="I466" s="97">
        <v>6023.3</v>
      </c>
      <c r="J466" s="96">
        <v>333</v>
      </c>
      <c r="K466" s="96" t="s">
        <v>365</v>
      </c>
      <c r="L466" s="96" t="s">
        <v>366</v>
      </c>
      <c r="M466" s="96"/>
      <c r="N466" s="99"/>
      <c r="O466" s="99">
        <v>2377151.2400000002</v>
      </c>
      <c r="P466" s="99"/>
      <c r="Q466" s="99"/>
      <c r="R466" s="99"/>
      <c r="S466" s="99"/>
      <c r="T466" s="99"/>
      <c r="U466" s="99"/>
      <c r="V466" s="99">
        <v>15132111.109999999</v>
      </c>
      <c r="W466" s="99"/>
      <c r="X466" s="99">
        <v>19776195.030000001</v>
      </c>
      <c r="Y466" s="99"/>
      <c r="Z466" s="99">
        <v>2531469.39</v>
      </c>
      <c r="AA466" s="99">
        <f t="shared" si="80"/>
        <v>39816926.770000003</v>
      </c>
      <c r="AB466" s="99">
        <f>AA466</f>
        <v>39816926.770000003</v>
      </c>
      <c r="AC466" s="99"/>
      <c r="AD466" s="99"/>
      <c r="AE466" s="101"/>
      <c r="AF466" s="96" t="s">
        <v>524</v>
      </c>
      <c r="AG466" s="96" t="s">
        <v>525</v>
      </c>
    </row>
    <row r="467" spans="1:33" ht="84.9" hidden="1" customHeight="1" x14ac:dyDescent="0.45">
      <c r="A467" s="96">
        <v>447</v>
      </c>
      <c r="B467" s="96" t="s">
        <v>587</v>
      </c>
      <c r="C467" s="96" t="s">
        <v>312</v>
      </c>
      <c r="D467" s="96">
        <v>1968</v>
      </c>
      <c r="E467" s="96">
        <v>5</v>
      </c>
      <c r="F467" s="96">
        <v>4</v>
      </c>
      <c r="G467" s="97">
        <v>3032.2</v>
      </c>
      <c r="H467" s="97">
        <v>3057.9</v>
      </c>
      <c r="I467" s="97">
        <v>2821</v>
      </c>
      <c r="J467" s="96">
        <v>122</v>
      </c>
      <c r="K467" s="96" t="s">
        <v>365</v>
      </c>
      <c r="L467" s="96" t="s">
        <v>366</v>
      </c>
      <c r="M467" s="96"/>
      <c r="N467" s="99"/>
      <c r="O467" s="99">
        <v>2377151.2400000002</v>
      </c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>
        <v>124000</v>
      </c>
      <c r="AA467" s="99">
        <f t="shared" si="82"/>
        <v>2501151.2400000002</v>
      </c>
      <c r="AB467" s="99">
        <v>2501151.2400000002</v>
      </c>
      <c r="AC467" s="99"/>
      <c r="AD467" s="99"/>
      <c r="AE467" s="101"/>
      <c r="AF467" s="96">
        <v>2022</v>
      </c>
      <c r="AG467" s="96">
        <v>2022</v>
      </c>
    </row>
    <row r="468" spans="1:33" ht="84.9" hidden="1" customHeight="1" x14ac:dyDescent="0.45">
      <c r="A468" s="96">
        <v>448</v>
      </c>
      <c r="B468" s="96" t="s">
        <v>587</v>
      </c>
      <c r="C468" s="96" t="s">
        <v>313</v>
      </c>
      <c r="D468" s="96">
        <v>1968</v>
      </c>
      <c r="E468" s="96">
        <v>5</v>
      </c>
      <c r="F468" s="96">
        <v>4</v>
      </c>
      <c r="G468" s="97">
        <v>2797.6</v>
      </c>
      <c r="H468" s="97">
        <v>2796.7</v>
      </c>
      <c r="I468" s="97">
        <v>2719.3</v>
      </c>
      <c r="J468" s="96">
        <v>137</v>
      </c>
      <c r="K468" s="96" t="s">
        <v>365</v>
      </c>
      <c r="L468" s="96" t="s">
        <v>366</v>
      </c>
      <c r="M468" s="96"/>
      <c r="N468" s="99"/>
      <c r="O468" s="99">
        <v>2377151.2400000002</v>
      </c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>
        <v>124000</v>
      </c>
      <c r="AA468" s="99">
        <f t="shared" si="82"/>
        <v>2501151.2400000002</v>
      </c>
      <c r="AB468" s="99">
        <v>2501151.2400000002</v>
      </c>
      <c r="AC468" s="99"/>
      <c r="AD468" s="99"/>
      <c r="AE468" s="101"/>
      <c r="AF468" s="96">
        <v>2022</v>
      </c>
      <c r="AG468" s="96">
        <v>2022</v>
      </c>
    </row>
    <row r="469" spans="1:33" ht="84.9" hidden="1" customHeight="1" x14ac:dyDescent="0.45">
      <c r="A469" s="96">
        <v>449</v>
      </c>
      <c r="B469" s="96" t="s">
        <v>587</v>
      </c>
      <c r="C469" s="96" t="s">
        <v>314</v>
      </c>
      <c r="D469" s="96">
        <v>1968</v>
      </c>
      <c r="E469" s="96">
        <v>5</v>
      </c>
      <c r="F469" s="96">
        <v>4</v>
      </c>
      <c r="G469" s="97">
        <v>3037.8</v>
      </c>
      <c r="H469" s="97">
        <v>3035.8</v>
      </c>
      <c r="I469" s="97">
        <v>3005.8</v>
      </c>
      <c r="J469" s="96" t="s">
        <v>530</v>
      </c>
      <c r="K469" s="96" t="s">
        <v>365</v>
      </c>
      <c r="L469" s="96" t="s">
        <v>366</v>
      </c>
      <c r="M469" s="96"/>
      <c r="N469" s="99"/>
      <c r="O469" s="99">
        <v>2377151.2400000002</v>
      </c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>
        <v>124000</v>
      </c>
      <c r="AA469" s="99">
        <f t="shared" si="82"/>
        <v>2501151.2400000002</v>
      </c>
      <c r="AB469" s="99">
        <v>2501151.2400000002</v>
      </c>
      <c r="AC469" s="99"/>
      <c r="AD469" s="99"/>
      <c r="AE469" s="101"/>
      <c r="AF469" s="96">
        <v>2022</v>
      </c>
      <c r="AG469" s="96">
        <v>2022</v>
      </c>
    </row>
    <row r="470" spans="1:33" ht="84.9" hidden="1" customHeight="1" x14ac:dyDescent="0.45">
      <c r="A470" s="96">
        <v>450</v>
      </c>
      <c r="B470" s="96" t="s">
        <v>587</v>
      </c>
      <c r="C470" s="96" t="s">
        <v>315</v>
      </c>
      <c r="D470" s="96">
        <v>1968</v>
      </c>
      <c r="E470" s="96">
        <v>5</v>
      </c>
      <c r="F470" s="96">
        <v>4</v>
      </c>
      <c r="G470" s="97">
        <v>3961.2</v>
      </c>
      <c r="H470" s="97">
        <v>3941.6</v>
      </c>
      <c r="I470" s="97">
        <v>3353</v>
      </c>
      <c r="J470" s="96">
        <v>174</v>
      </c>
      <c r="K470" s="96" t="s">
        <v>365</v>
      </c>
      <c r="L470" s="96" t="s">
        <v>366</v>
      </c>
      <c r="M470" s="96"/>
      <c r="N470" s="99"/>
      <c r="O470" s="99">
        <v>2377151.2400000002</v>
      </c>
      <c r="P470" s="99"/>
      <c r="Q470" s="99"/>
      <c r="R470" s="99"/>
      <c r="S470" s="99"/>
      <c r="T470" s="99"/>
      <c r="U470" s="99"/>
      <c r="V470" s="99">
        <v>14911858.550000001</v>
      </c>
      <c r="W470" s="99"/>
      <c r="X470" s="99">
        <v>13138817.699999999</v>
      </c>
      <c r="Y470" s="99"/>
      <c r="Z470" s="99">
        <v>2058529.4</v>
      </c>
      <c r="AA470" s="99">
        <f>SUM(O470+V470+X470+Z470)</f>
        <v>32486356.889999997</v>
      </c>
      <c r="AB470" s="99">
        <f>AA470</f>
        <v>32486356.889999997</v>
      </c>
      <c r="AC470" s="99"/>
      <c r="AD470" s="99"/>
      <c r="AE470" s="101"/>
      <c r="AF470" s="96" t="s">
        <v>524</v>
      </c>
      <c r="AG470" s="96" t="s">
        <v>525</v>
      </c>
    </row>
    <row r="471" spans="1:33" ht="84.9" hidden="1" customHeight="1" x14ac:dyDescent="0.45">
      <c r="A471" s="96">
        <v>451</v>
      </c>
      <c r="B471" s="96" t="s">
        <v>587</v>
      </c>
      <c r="C471" s="96" t="s">
        <v>316</v>
      </c>
      <c r="D471" s="96">
        <v>1967</v>
      </c>
      <c r="E471" s="96">
        <v>5</v>
      </c>
      <c r="F471" s="96">
        <v>4</v>
      </c>
      <c r="G471" s="97" t="s">
        <v>533</v>
      </c>
      <c r="H471" s="97">
        <v>2731</v>
      </c>
      <c r="I471" s="97">
        <v>2713.8</v>
      </c>
      <c r="J471" s="96">
        <v>133</v>
      </c>
      <c r="K471" s="96" t="s">
        <v>365</v>
      </c>
      <c r="L471" s="96" t="s">
        <v>366</v>
      </c>
      <c r="M471" s="96"/>
      <c r="N471" s="99"/>
      <c r="O471" s="99">
        <v>2377151.2400000002</v>
      </c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>
        <v>124000</v>
      </c>
      <c r="AA471" s="99">
        <f t="shared" ref="AA471:AA482" si="83">SUM(O471+Z471)</f>
        <v>2501151.2400000002</v>
      </c>
      <c r="AB471" s="99">
        <v>2501151.2400000002</v>
      </c>
      <c r="AC471" s="99"/>
      <c r="AD471" s="99"/>
      <c r="AE471" s="101"/>
      <c r="AF471" s="96">
        <v>2022</v>
      </c>
      <c r="AG471" s="96">
        <v>2022</v>
      </c>
    </row>
    <row r="472" spans="1:33" ht="84.9" hidden="1" customHeight="1" x14ac:dyDescent="0.45">
      <c r="A472" s="96">
        <v>452</v>
      </c>
      <c r="B472" s="96" t="s">
        <v>587</v>
      </c>
      <c r="C472" s="96" t="s">
        <v>317</v>
      </c>
      <c r="D472" s="96">
        <v>1968</v>
      </c>
      <c r="E472" s="96">
        <v>5</v>
      </c>
      <c r="F472" s="96">
        <v>4</v>
      </c>
      <c r="G472" s="97">
        <v>3942.7</v>
      </c>
      <c r="H472" s="97">
        <v>3942.7</v>
      </c>
      <c r="I472" s="97">
        <v>1653.4</v>
      </c>
      <c r="J472" s="96">
        <v>100</v>
      </c>
      <c r="K472" s="96" t="s">
        <v>365</v>
      </c>
      <c r="L472" s="96" t="s">
        <v>366</v>
      </c>
      <c r="M472" s="96"/>
      <c r="N472" s="99"/>
      <c r="O472" s="99"/>
      <c r="P472" s="99"/>
      <c r="Q472" s="99"/>
      <c r="R472" s="99"/>
      <c r="S472" s="99"/>
      <c r="T472" s="99"/>
      <c r="U472" s="99"/>
      <c r="V472" s="99">
        <v>14916020.07</v>
      </c>
      <c r="W472" s="99"/>
      <c r="X472" s="99">
        <v>13142484.41</v>
      </c>
      <c r="Y472" s="99"/>
      <c r="Z472" s="99">
        <v>1935069.28</v>
      </c>
      <c r="AA472" s="99">
        <f>SUM(V472+X472+Z472)</f>
        <v>29993573.760000002</v>
      </c>
      <c r="AB472" s="99">
        <f>AA472</f>
        <v>29993573.760000002</v>
      </c>
      <c r="AC472" s="99"/>
      <c r="AD472" s="99"/>
      <c r="AE472" s="101"/>
      <c r="AF472" s="96">
        <v>2022</v>
      </c>
      <c r="AG472" s="96">
        <v>2023</v>
      </c>
    </row>
    <row r="473" spans="1:33" ht="84.9" hidden="1" customHeight="1" x14ac:dyDescent="0.45">
      <c r="A473" s="96">
        <v>453</v>
      </c>
      <c r="B473" s="96" t="s">
        <v>587</v>
      </c>
      <c r="C473" s="96" t="s">
        <v>318</v>
      </c>
      <c r="D473" s="96">
        <v>1967</v>
      </c>
      <c r="E473" s="96">
        <v>5</v>
      </c>
      <c r="F473" s="96">
        <v>4</v>
      </c>
      <c r="G473" s="97" t="s">
        <v>536</v>
      </c>
      <c r="H473" s="97">
        <v>2735.2</v>
      </c>
      <c r="I473" s="97">
        <v>2717.8</v>
      </c>
      <c r="J473" s="96">
        <v>113</v>
      </c>
      <c r="K473" s="96" t="s">
        <v>365</v>
      </c>
      <c r="L473" s="96" t="s">
        <v>366</v>
      </c>
      <c r="M473" s="96"/>
      <c r="N473" s="99"/>
      <c r="O473" s="99">
        <v>2377151.2400000002</v>
      </c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>
        <v>124000</v>
      </c>
      <c r="AA473" s="99">
        <f t="shared" si="83"/>
        <v>2501151.2400000002</v>
      </c>
      <c r="AB473" s="99">
        <v>2501151.2400000002</v>
      </c>
      <c r="AC473" s="99"/>
      <c r="AD473" s="99"/>
      <c r="AE473" s="101"/>
      <c r="AF473" s="96">
        <v>2022</v>
      </c>
      <c r="AG473" s="96">
        <v>2022</v>
      </c>
    </row>
    <row r="474" spans="1:33" ht="84.9" hidden="1" customHeight="1" x14ac:dyDescent="0.45">
      <c r="A474" s="96">
        <v>454</v>
      </c>
      <c r="B474" s="96" t="s">
        <v>587</v>
      </c>
      <c r="C474" s="96" t="s">
        <v>319</v>
      </c>
      <c r="D474" s="96">
        <v>1967</v>
      </c>
      <c r="E474" s="96">
        <v>5</v>
      </c>
      <c r="F474" s="96">
        <v>6</v>
      </c>
      <c r="G474" s="97">
        <v>4451.8</v>
      </c>
      <c r="H474" s="97">
        <v>4447.2</v>
      </c>
      <c r="I474" s="97">
        <v>4363.2</v>
      </c>
      <c r="J474" s="96">
        <v>221</v>
      </c>
      <c r="K474" s="96" t="s">
        <v>365</v>
      </c>
      <c r="L474" s="96" t="s">
        <v>366</v>
      </c>
      <c r="M474" s="96"/>
      <c r="N474" s="99"/>
      <c r="O474" s="99">
        <v>2377151.2400000002</v>
      </c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>
        <v>124000</v>
      </c>
      <c r="AA474" s="99">
        <f t="shared" si="83"/>
        <v>2501151.2400000002</v>
      </c>
      <c r="AB474" s="99">
        <v>2501151.2400000002</v>
      </c>
      <c r="AC474" s="99"/>
      <c r="AD474" s="99"/>
      <c r="AE474" s="101"/>
      <c r="AF474" s="96">
        <v>2022</v>
      </c>
      <c r="AG474" s="96">
        <v>2022</v>
      </c>
    </row>
    <row r="475" spans="1:33" ht="84.9" hidden="1" customHeight="1" x14ac:dyDescent="0.45">
      <c r="A475" s="96">
        <v>455</v>
      </c>
      <c r="B475" s="96" t="s">
        <v>587</v>
      </c>
      <c r="C475" s="96" t="s">
        <v>320</v>
      </c>
      <c r="D475" s="96">
        <v>1968</v>
      </c>
      <c r="E475" s="96">
        <v>5</v>
      </c>
      <c r="F475" s="96">
        <v>6</v>
      </c>
      <c r="G475" s="97" t="s">
        <v>537</v>
      </c>
      <c r="H475" s="97">
        <v>2968.6</v>
      </c>
      <c r="I475" s="97">
        <v>2861.5</v>
      </c>
      <c r="J475" s="96">
        <v>131</v>
      </c>
      <c r="K475" s="96" t="s">
        <v>365</v>
      </c>
      <c r="L475" s="96" t="s">
        <v>366</v>
      </c>
      <c r="M475" s="96"/>
      <c r="N475" s="99"/>
      <c r="O475" s="99">
        <v>2377151.2400000002</v>
      </c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>
        <v>124000</v>
      </c>
      <c r="AA475" s="99">
        <f t="shared" si="83"/>
        <v>2501151.2400000002</v>
      </c>
      <c r="AB475" s="99">
        <v>2501151.2400000002</v>
      </c>
      <c r="AC475" s="99"/>
      <c r="AD475" s="99"/>
      <c r="AE475" s="101"/>
      <c r="AF475" s="96">
        <v>2022</v>
      </c>
      <c r="AG475" s="96">
        <v>2022</v>
      </c>
    </row>
    <row r="476" spans="1:33" ht="84.9" hidden="1" customHeight="1" x14ac:dyDescent="0.45">
      <c r="A476" s="96">
        <v>456</v>
      </c>
      <c r="B476" s="96" t="s">
        <v>587</v>
      </c>
      <c r="C476" s="96" t="s">
        <v>321</v>
      </c>
      <c r="D476" s="96">
        <v>1969</v>
      </c>
      <c r="E476" s="96">
        <v>5</v>
      </c>
      <c r="F476" s="96">
        <v>6</v>
      </c>
      <c r="G476" s="97">
        <v>4473.7</v>
      </c>
      <c r="H476" s="97">
        <v>4473.8999999999996</v>
      </c>
      <c r="I476" s="97">
        <v>4401.3</v>
      </c>
      <c r="J476" s="96">
        <v>224</v>
      </c>
      <c r="K476" s="96" t="s">
        <v>365</v>
      </c>
      <c r="L476" s="96" t="s">
        <v>366</v>
      </c>
      <c r="M476" s="96"/>
      <c r="N476" s="99"/>
      <c r="O476" s="99">
        <v>2377151.2400000002</v>
      </c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>
        <v>124000</v>
      </c>
      <c r="AA476" s="99">
        <f t="shared" si="83"/>
        <v>2501151.2400000002</v>
      </c>
      <c r="AB476" s="99">
        <v>2501151.2400000002</v>
      </c>
      <c r="AC476" s="99"/>
      <c r="AD476" s="99"/>
      <c r="AE476" s="101"/>
      <c r="AF476" s="96">
        <v>2022</v>
      </c>
      <c r="AG476" s="96">
        <v>2022</v>
      </c>
    </row>
    <row r="477" spans="1:33" ht="84.9" hidden="1" customHeight="1" x14ac:dyDescent="0.45">
      <c r="A477" s="96">
        <v>457</v>
      </c>
      <c r="B477" s="96" t="s">
        <v>587</v>
      </c>
      <c r="C477" s="96" t="s">
        <v>322</v>
      </c>
      <c r="D477" s="96">
        <v>1970</v>
      </c>
      <c r="E477" s="96">
        <v>5</v>
      </c>
      <c r="F477" s="96">
        <v>9</v>
      </c>
      <c r="G477" s="97">
        <v>6455.9</v>
      </c>
      <c r="H477" s="97">
        <v>6419.9</v>
      </c>
      <c r="I477" s="97">
        <v>6419.9</v>
      </c>
      <c r="J477" s="96">
        <v>281</v>
      </c>
      <c r="K477" s="96" t="s">
        <v>365</v>
      </c>
      <c r="L477" s="96" t="s">
        <v>366</v>
      </c>
      <c r="M477" s="96"/>
      <c r="N477" s="99"/>
      <c r="O477" s="99">
        <v>2377151.2400000002</v>
      </c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>
        <v>124000</v>
      </c>
      <c r="AA477" s="99">
        <f t="shared" si="83"/>
        <v>2501151.2400000002</v>
      </c>
      <c r="AB477" s="99">
        <v>2501151.2400000002</v>
      </c>
      <c r="AC477" s="99"/>
      <c r="AD477" s="99"/>
      <c r="AE477" s="101"/>
      <c r="AF477" s="96">
        <v>2022</v>
      </c>
      <c r="AG477" s="96">
        <v>2022</v>
      </c>
    </row>
    <row r="478" spans="1:33" ht="84.9" hidden="1" customHeight="1" x14ac:dyDescent="0.45">
      <c r="A478" s="96">
        <v>458</v>
      </c>
      <c r="B478" s="96" t="s">
        <v>587</v>
      </c>
      <c r="C478" s="96" t="s">
        <v>323</v>
      </c>
      <c r="D478" s="96">
        <v>1971</v>
      </c>
      <c r="E478" s="96">
        <v>5</v>
      </c>
      <c r="F478" s="96">
        <v>7</v>
      </c>
      <c r="G478" s="97">
        <v>5039.2</v>
      </c>
      <c r="H478" s="97">
        <v>5039</v>
      </c>
      <c r="I478" s="97">
        <v>4999.3999999999996</v>
      </c>
      <c r="J478" s="96">
        <v>225</v>
      </c>
      <c r="K478" s="96" t="s">
        <v>365</v>
      </c>
      <c r="L478" s="96" t="s">
        <v>366</v>
      </c>
      <c r="M478" s="96"/>
      <c r="N478" s="99"/>
      <c r="O478" s="99">
        <v>2377151.2400000002</v>
      </c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>
        <v>124000</v>
      </c>
      <c r="AA478" s="99">
        <f t="shared" si="83"/>
        <v>2501151.2400000002</v>
      </c>
      <c r="AB478" s="99">
        <v>2501151.2400000002</v>
      </c>
      <c r="AC478" s="99"/>
      <c r="AD478" s="99"/>
      <c r="AE478" s="101"/>
      <c r="AF478" s="96">
        <v>2022</v>
      </c>
      <c r="AG478" s="96">
        <v>2022</v>
      </c>
    </row>
    <row r="479" spans="1:33" ht="84.9" hidden="1" customHeight="1" x14ac:dyDescent="0.45">
      <c r="A479" s="96">
        <v>459</v>
      </c>
      <c r="B479" s="96" t="s">
        <v>587</v>
      </c>
      <c r="C479" s="96" t="s">
        <v>324</v>
      </c>
      <c r="D479" s="96" t="s">
        <v>384</v>
      </c>
      <c r="E479" s="96">
        <v>5</v>
      </c>
      <c r="F479" s="96">
        <v>8</v>
      </c>
      <c r="G479" s="97">
        <v>3207.2</v>
      </c>
      <c r="H479" s="97">
        <v>3206.6</v>
      </c>
      <c r="I479" s="97">
        <v>3073.1</v>
      </c>
      <c r="J479" s="96" t="s">
        <v>538</v>
      </c>
      <c r="K479" s="96" t="s">
        <v>365</v>
      </c>
      <c r="L479" s="96" t="s">
        <v>366</v>
      </c>
      <c r="M479" s="96"/>
      <c r="N479" s="99"/>
      <c r="O479" s="99">
        <v>2377151.2400000002</v>
      </c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>
        <v>124000</v>
      </c>
      <c r="AA479" s="99">
        <f t="shared" si="83"/>
        <v>2501151.2400000002</v>
      </c>
      <c r="AB479" s="99">
        <v>2501151.2400000002</v>
      </c>
      <c r="AC479" s="99"/>
      <c r="AD479" s="99"/>
      <c r="AE479" s="101"/>
      <c r="AF479" s="96">
        <v>2022</v>
      </c>
      <c r="AG479" s="96">
        <v>2022</v>
      </c>
    </row>
    <row r="480" spans="1:33" ht="84.9" hidden="1" customHeight="1" x14ac:dyDescent="0.45">
      <c r="A480" s="96">
        <v>460</v>
      </c>
      <c r="B480" s="96" t="s">
        <v>587</v>
      </c>
      <c r="C480" s="96" t="s">
        <v>325</v>
      </c>
      <c r="D480" s="96">
        <v>1971</v>
      </c>
      <c r="E480" s="96">
        <v>5</v>
      </c>
      <c r="F480" s="96">
        <v>4</v>
      </c>
      <c r="G480" s="97">
        <v>3039.1</v>
      </c>
      <c r="H480" s="97">
        <v>3043.4</v>
      </c>
      <c r="I480" s="97">
        <v>2796.5</v>
      </c>
      <c r="J480" s="96">
        <v>125</v>
      </c>
      <c r="K480" s="96" t="s">
        <v>365</v>
      </c>
      <c r="L480" s="96" t="s">
        <v>366</v>
      </c>
      <c r="M480" s="96"/>
      <c r="N480" s="99"/>
      <c r="O480" s="99">
        <v>2377151.2400000002</v>
      </c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>
        <v>124000</v>
      </c>
      <c r="AA480" s="99">
        <f t="shared" si="83"/>
        <v>2501151.2400000002</v>
      </c>
      <c r="AB480" s="99">
        <v>2501151.2400000002</v>
      </c>
      <c r="AC480" s="99"/>
      <c r="AD480" s="99"/>
      <c r="AE480" s="101"/>
      <c r="AF480" s="96">
        <v>2022</v>
      </c>
      <c r="AG480" s="96">
        <v>2022</v>
      </c>
    </row>
    <row r="481" spans="1:33" ht="84.9" hidden="1" customHeight="1" x14ac:dyDescent="0.45">
      <c r="A481" s="96">
        <v>461</v>
      </c>
      <c r="B481" s="96" t="s">
        <v>587</v>
      </c>
      <c r="C481" s="96" t="s">
        <v>326</v>
      </c>
      <c r="D481" s="96">
        <v>1971</v>
      </c>
      <c r="E481" s="96">
        <v>5</v>
      </c>
      <c r="F481" s="96">
        <v>4</v>
      </c>
      <c r="G481" s="97">
        <v>3349.8</v>
      </c>
      <c r="H481" s="97">
        <v>3348.1</v>
      </c>
      <c r="I481" s="97">
        <v>2799.8</v>
      </c>
      <c r="J481" s="96">
        <v>129</v>
      </c>
      <c r="K481" s="96" t="s">
        <v>365</v>
      </c>
      <c r="L481" s="96" t="s">
        <v>366</v>
      </c>
      <c r="M481" s="96"/>
      <c r="N481" s="99"/>
      <c r="O481" s="99">
        <v>2377151.2400000002</v>
      </c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>
        <v>124000</v>
      </c>
      <c r="AA481" s="99">
        <f t="shared" si="83"/>
        <v>2501151.2400000002</v>
      </c>
      <c r="AB481" s="99">
        <v>2501151.2400000002</v>
      </c>
      <c r="AC481" s="99"/>
      <c r="AD481" s="99"/>
      <c r="AE481" s="101"/>
      <c r="AF481" s="96">
        <v>2022</v>
      </c>
      <c r="AG481" s="96">
        <v>2022</v>
      </c>
    </row>
    <row r="482" spans="1:33" ht="84.9" hidden="1" customHeight="1" x14ac:dyDescent="0.45">
      <c r="A482" s="96">
        <v>462</v>
      </c>
      <c r="B482" s="96" t="s">
        <v>587</v>
      </c>
      <c r="C482" s="96" t="s">
        <v>327</v>
      </c>
      <c r="D482" s="96">
        <v>1971</v>
      </c>
      <c r="E482" s="96">
        <v>5</v>
      </c>
      <c r="F482" s="96">
        <v>7</v>
      </c>
      <c r="G482" s="97">
        <v>5400.7</v>
      </c>
      <c r="H482" s="97">
        <v>5399.4</v>
      </c>
      <c r="I482" s="97">
        <v>4940.5</v>
      </c>
      <c r="J482" s="96">
        <v>99</v>
      </c>
      <c r="K482" s="96" t="s">
        <v>365</v>
      </c>
      <c r="L482" s="96" t="s">
        <v>366</v>
      </c>
      <c r="M482" s="96"/>
      <c r="N482" s="99"/>
      <c r="O482" s="99">
        <v>4754302.4800000004</v>
      </c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>
        <v>248000</v>
      </c>
      <c r="AA482" s="99">
        <f t="shared" si="83"/>
        <v>5002302.4800000004</v>
      </c>
      <c r="AB482" s="99">
        <f>AA482</f>
        <v>5002302.4800000004</v>
      </c>
      <c r="AC482" s="99"/>
      <c r="AD482" s="99"/>
      <c r="AE482" s="101"/>
      <c r="AF482" s="96">
        <v>2022</v>
      </c>
      <c r="AG482" s="96">
        <v>2022</v>
      </c>
    </row>
    <row r="483" spans="1:33" ht="84.9" hidden="1" customHeight="1" x14ac:dyDescent="0.45">
      <c r="A483" s="96">
        <v>463</v>
      </c>
      <c r="B483" s="96" t="s">
        <v>587</v>
      </c>
      <c r="C483" s="96" t="s">
        <v>539</v>
      </c>
      <c r="D483" s="96">
        <v>1971</v>
      </c>
      <c r="E483" s="96">
        <v>5</v>
      </c>
      <c r="F483" s="96">
        <v>4</v>
      </c>
      <c r="G483" s="97">
        <v>2745.7</v>
      </c>
      <c r="H483" s="97">
        <v>2728.5</v>
      </c>
      <c r="I483" s="97">
        <v>2716.1</v>
      </c>
      <c r="J483" s="96">
        <v>152</v>
      </c>
      <c r="K483" s="96" t="s">
        <v>365</v>
      </c>
      <c r="L483" s="96" t="s">
        <v>366</v>
      </c>
      <c r="M483" s="96"/>
      <c r="N483" s="99">
        <v>1706659.7</v>
      </c>
      <c r="O483" s="99">
        <v>9276640.5199999996</v>
      </c>
      <c r="P483" s="99">
        <v>1800681.76</v>
      </c>
      <c r="Q483" s="99">
        <f>ROUND(H483*643.1*1.015,2)</f>
        <v>1781018.83</v>
      </c>
      <c r="R483" s="99"/>
      <c r="S483" s="99">
        <v>1785034.5</v>
      </c>
      <c r="T483" s="99"/>
      <c r="U483" s="99"/>
      <c r="V483" s="99">
        <v>9740630.4000000004</v>
      </c>
      <c r="W483" s="99"/>
      <c r="X483" s="99"/>
      <c r="Y483" s="99"/>
      <c r="Z483" s="99">
        <v>1328755</v>
      </c>
      <c r="AA483" s="99">
        <f>SUM(N483+O483+P483+Q483+S483+V483+Z483)</f>
        <v>27419420.710000001</v>
      </c>
      <c r="AB483" s="99"/>
      <c r="AC483" s="99"/>
      <c r="AD483" s="99">
        <f>SUM(N483:Z483)</f>
        <v>27419420.710000001</v>
      </c>
      <c r="AE483" s="101"/>
      <c r="AF483" s="96" t="s">
        <v>507</v>
      </c>
      <c r="AG483" s="96" t="s">
        <v>471</v>
      </c>
    </row>
    <row r="484" spans="1:33" ht="84.9" hidden="1" customHeight="1" x14ac:dyDescent="0.45">
      <c r="A484" s="96">
        <v>464</v>
      </c>
      <c r="B484" s="96" t="s">
        <v>587</v>
      </c>
      <c r="C484" s="96" t="s">
        <v>540</v>
      </c>
      <c r="D484" s="96">
        <v>1966</v>
      </c>
      <c r="E484" s="96">
        <v>5</v>
      </c>
      <c r="F484" s="96">
        <v>2</v>
      </c>
      <c r="G484" s="97">
        <v>2155</v>
      </c>
      <c r="H484" s="97">
        <v>1976</v>
      </c>
      <c r="I484" s="97">
        <v>1643.3</v>
      </c>
      <c r="J484" s="96">
        <v>88</v>
      </c>
      <c r="K484" s="96" t="s">
        <v>365</v>
      </c>
      <c r="L484" s="96" t="s">
        <v>366</v>
      </c>
      <c r="M484" s="96"/>
      <c r="N484" s="99"/>
      <c r="O484" s="99"/>
      <c r="P484" s="99"/>
      <c r="Q484" s="99"/>
      <c r="R484" s="99"/>
      <c r="S484" s="99"/>
      <c r="T484" s="99"/>
      <c r="U484" s="99"/>
      <c r="V484" s="99">
        <v>8432162.1600000001</v>
      </c>
      <c r="W484" s="99"/>
      <c r="X484" s="99"/>
      <c r="Y484" s="99"/>
      <c r="Z484" s="99">
        <v>939358.67</v>
      </c>
      <c r="AA484" s="99">
        <f>SUM(V484+Z484)</f>
        <v>9371520.8300000001</v>
      </c>
      <c r="AB484" s="99"/>
      <c r="AC484" s="99"/>
      <c r="AD484" s="99">
        <f>AA484</f>
        <v>9371520.8300000001</v>
      </c>
      <c r="AE484" s="101"/>
      <c r="AF484" s="96">
        <v>2022</v>
      </c>
      <c r="AG484" s="96">
        <v>2023</v>
      </c>
    </row>
    <row r="485" spans="1:33" ht="84.9" hidden="1" customHeight="1" x14ac:dyDescent="0.45">
      <c r="A485" s="96">
        <v>465</v>
      </c>
      <c r="B485" s="96" t="s">
        <v>587</v>
      </c>
      <c r="C485" s="96" t="s">
        <v>541</v>
      </c>
      <c r="D485" s="96">
        <v>1950</v>
      </c>
      <c r="E485" s="96">
        <v>5</v>
      </c>
      <c r="F485" s="96">
        <v>4</v>
      </c>
      <c r="G485" s="97">
        <v>4034.6</v>
      </c>
      <c r="H485" s="97">
        <f>2715.8+991.6</f>
        <v>3707.4</v>
      </c>
      <c r="I485" s="97">
        <v>1736.2</v>
      </c>
      <c r="J485" s="96" t="s">
        <v>364</v>
      </c>
      <c r="K485" s="96" t="s">
        <v>365</v>
      </c>
      <c r="L485" s="96" t="s">
        <v>366</v>
      </c>
      <c r="M485" s="96"/>
      <c r="N485" s="99">
        <f>ROUND(H485*332.83*1.015,2)</f>
        <v>1252442.95</v>
      </c>
      <c r="O485" s="99">
        <f>ROUND(H485*2235.31*1.015,2)</f>
        <v>8411496.1199999992</v>
      </c>
      <c r="P485" s="99">
        <f>ROUND(H485*430.48*1.015,2)</f>
        <v>1619900.98</v>
      </c>
      <c r="Q485" s="99">
        <f>ROUND(H485*457.67*1.015,2)</f>
        <v>1722217.24</v>
      </c>
      <c r="R485" s="117">
        <f>ROUND(1197448.78*1.015,2)</f>
        <v>1215410.51</v>
      </c>
      <c r="S485" s="99">
        <f>ROUND(H485*467.73*1.015,2)</f>
        <v>1760073.14</v>
      </c>
      <c r="T485" s="99"/>
      <c r="U485" s="99"/>
      <c r="V485" s="99"/>
      <c r="W485" s="99"/>
      <c r="X485" s="99"/>
      <c r="Y485" s="99"/>
      <c r="Z485" s="99">
        <v>679427.78</v>
      </c>
      <c r="AA485" s="99">
        <f>SUM(N485+O485+P485+Q485+R485+S485+Z485)</f>
        <v>16660968.719999999</v>
      </c>
      <c r="AB485" s="99"/>
      <c r="AC485" s="99"/>
      <c r="AD485" s="99">
        <f>SUM(N485:Z485)</f>
        <v>16660968.719999999</v>
      </c>
      <c r="AE485" s="101"/>
      <c r="AF485" s="96">
        <v>2020</v>
      </c>
      <c r="AG485" s="96">
        <v>2022</v>
      </c>
    </row>
    <row r="486" spans="1:33" ht="84.9" hidden="1" customHeight="1" x14ac:dyDescent="0.45">
      <c r="A486" s="96">
        <v>466</v>
      </c>
      <c r="B486" s="96" t="s">
        <v>587</v>
      </c>
      <c r="C486" s="96" t="s">
        <v>542</v>
      </c>
      <c r="D486" s="96">
        <v>1962</v>
      </c>
      <c r="E486" s="96">
        <v>5</v>
      </c>
      <c r="F486" s="96">
        <v>3</v>
      </c>
      <c r="G486" s="97">
        <v>3099.1</v>
      </c>
      <c r="H486" s="97">
        <f>2523.4+338.1</f>
        <v>2861.5</v>
      </c>
      <c r="I486" s="97">
        <v>1777.3</v>
      </c>
      <c r="J486" s="96">
        <v>71</v>
      </c>
      <c r="K486" s="96" t="s">
        <v>365</v>
      </c>
      <c r="L486" s="96" t="s">
        <v>366</v>
      </c>
      <c r="M486" s="96"/>
      <c r="N486" s="99"/>
      <c r="O486" s="99"/>
      <c r="P486" s="99"/>
      <c r="Q486" s="99"/>
      <c r="R486" s="117"/>
      <c r="S486" s="99"/>
      <c r="T486" s="99"/>
      <c r="U486" s="99"/>
      <c r="V486" s="99">
        <v>6807443.0899999999</v>
      </c>
      <c r="W486" s="99"/>
      <c r="X486" s="99">
        <v>9207396.9000000004</v>
      </c>
      <c r="Y486" s="99"/>
      <c r="Z486" s="99">
        <v>1094734.04</v>
      </c>
      <c r="AA486" s="99">
        <f>SUM(V486+X486+Z486)</f>
        <v>17109574.030000001</v>
      </c>
      <c r="AB486" s="99"/>
      <c r="AC486" s="99"/>
      <c r="AD486" s="99">
        <f>SUM(V486:Z486)</f>
        <v>17109574.030000001</v>
      </c>
      <c r="AE486" s="101"/>
      <c r="AF486" s="96" t="s">
        <v>470</v>
      </c>
      <c r="AG486" s="96" t="s">
        <v>543</v>
      </c>
    </row>
    <row r="487" spans="1:33" ht="84.9" hidden="1" customHeight="1" x14ac:dyDescent="0.45">
      <c r="A487" s="96">
        <v>467</v>
      </c>
      <c r="B487" s="96" t="s">
        <v>587</v>
      </c>
      <c r="C487" s="96" t="s">
        <v>332</v>
      </c>
      <c r="D487" s="96">
        <v>1966</v>
      </c>
      <c r="E487" s="96">
        <v>5</v>
      </c>
      <c r="F487" s="96">
        <v>4</v>
      </c>
      <c r="G487" s="97">
        <v>3027.4</v>
      </c>
      <c r="H487" s="97">
        <v>2719.1</v>
      </c>
      <c r="I487" s="97">
        <v>2719.1</v>
      </c>
      <c r="J487" s="96">
        <v>137</v>
      </c>
      <c r="K487" s="96" t="s">
        <v>365</v>
      </c>
      <c r="L487" s="96" t="s">
        <v>366</v>
      </c>
      <c r="M487" s="96"/>
      <c r="N487" s="99"/>
      <c r="O487" s="99">
        <v>2377151.2400000002</v>
      </c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>
        <v>124000</v>
      </c>
      <c r="AA487" s="99">
        <f t="shared" ref="AA487:AA489" si="84">SUM(O487+Z487)</f>
        <v>2501151.2400000002</v>
      </c>
      <c r="AB487" s="99">
        <v>2501151.2400000002</v>
      </c>
      <c r="AC487" s="99"/>
      <c r="AD487" s="99"/>
      <c r="AE487" s="101"/>
      <c r="AF487" s="96">
        <v>2022</v>
      </c>
      <c r="AG487" s="96">
        <v>2022</v>
      </c>
    </row>
    <row r="488" spans="1:33" ht="84.9" hidden="1" customHeight="1" x14ac:dyDescent="0.45">
      <c r="A488" s="96">
        <v>468</v>
      </c>
      <c r="B488" s="96" t="s">
        <v>587</v>
      </c>
      <c r="C488" s="96" t="s">
        <v>333</v>
      </c>
      <c r="D488" s="96">
        <v>1966</v>
      </c>
      <c r="E488" s="96">
        <v>5</v>
      </c>
      <c r="F488" s="96">
        <v>4</v>
      </c>
      <c r="G488" s="97">
        <v>2730.5</v>
      </c>
      <c r="H488" s="97">
        <v>2730.6</v>
      </c>
      <c r="I488" s="97">
        <v>2730.6</v>
      </c>
      <c r="J488" s="96">
        <v>126</v>
      </c>
      <c r="K488" s="96" t="s">
        <v>365</v>
      </c>
      <c r="L488" s="96" t="s">
        <v>366</v>
      </c>
      <c r="M488" s="96"/>
      <c r="N488" s="99"/>
      <c r="O488" s="99">
        <v>2377151.2400000002</v>
      </c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>
        <v>124000</v>
      </c>
      <c r="AA488" s="99">
        <f t="shared" si="84"/>
        <v>2501151.2400000002</v>
      </c>
      <c r="AB488" s="99">
        <v>2501151.2400000002</v>
      </c>
      <c r="AC488" s="99"/>
      <c r="AD488" s="99"/>
      <c r="AE488" s="101"/>
      <c r="AF488" s="96">
        <v>2022</v>
      </c>
      <c r="AG488" s="96">
        <v>2022</v>
      </c>
    </row>
    <row r="489" spans="1:33" ht="84.9" hidden="1" customHeight="1" x14ac:dyDescent="0.45">
      <c r="A489" s="96">
        <v>469</v>
      </c>
      <c r="B489" s="96" t="s">
        <v>587</v>
      </c>
      <c r="C489" s="96" t="s">
        <v>334</v>
      </c>
      <c r="D489" s="96">
        <v>1966</v>
      </c>
      <c r="E489" s="96">
        <v>5</v>
      </c>
      <c r="F489" s="96">
        <v>4</v>
      </c>
      <c r="G489" s="97">
        <v>2719.5</v>
      </c>
      <c r="H489" s="97">
        <v>2719.3</v>
      </c>
      <c r="I489" s="97">
        <v>2719.3</v>
      </c>
      <c r="J489" s="96">
        <v>133</v>
      </c>
      <c r="K489" s="96" t="s">
        <v>365</v>
      </c>
      <c r="L489" s="96" t="s">
        <v>366</v>
      </c>
      <c r="M489" s="96"/>
      <c r="N489" s="99"/>
      <c r="O489" s="99">
        <v>2377151.2400000002</v>
      </c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>
        <v>124000</v>
      </c>
      <c r="AA489" s="99">
        <f t="shared" si="84"/>
        <v>2501151.2400000002</v>
      </c>
      <c r="AB489" s="99">
        <v>2501151.2400000002</v>
      </c>
      <c r="AC489" s="99"/>
      <c r="AD489" s="99"/>
      <c r="AE489" s="101"/>
      <c r="AF489" s="96">
        <v>2022</v>
      </c>
      <c r="AG489" s="96">
        <v>2022</v>
      </c>
    </row>
    <row r="490" spans="1:33" ht="84.9" hidden="1" customHeight="1" x14ac:dyDescent="0.45">
      <c r="A490" s="96">
        <v>470</v>
      </c>
      <c r="B490" s="96" t="s">
        <v>587</v>
      </c>
      <c r="C490" s="96" t="s">
        <v>418</v>
      </c>
      <c r="D490" s="96">
        <v>1981</v>
      </c>
      <c r="E490" s="96">
        <v>9</v>
      </c>
      <c r="F490" s="96">
        <v>1</v>
      </c>
      <c r="G490" s="97">
        <v>2423.1999999999998</v>
      </c>
      <c r="H490" s="97">
        <v>2423.1999999999998</v>
      </c>
      <c r="I490" s="97">
        <v>2423.1999999999998</v>
      </c>
      <c r="J490" s="96">
        <v>103</v>
      </c>
      <c r="K490" s="96" t="s">
        <v>365</v>
      </c>
      <c r="L490" s="96" t="s">
        <v>366</v>
      </c>
      <c r="M490" s="96"/>
      <c r="N490" s="99"/>
      <c r="O490" s="99"/>
      <c r="P490" s="99"/>
      <c r="Q490" s="99"/>
      <c r="R490" s="99"/>
      <c r="S490" s="99"/>
      <c r="T490" s="99"/>
      <c r="U490" s="99">
        <v>1851415.78</v>
      </c>
      <c r="V490" s="99"/>
      <c r="W490" s="99"/>
      <c r="X490" s="99"/>
      <c r="Y490" s="99"/>
      <c r="Z490" s="99">
        <v>75945.039999999994</v>
      </c>
      <c r="AA490" s="99">
        <f t="shared" ref="AA490:AA495" si="85">SUM(U490+Z490)</f>
        <v>1927360.82</v>
      </c>
      <c r="AB490" s="99"/>
      <c r="AC490" s="99"/>
      <c r="AD490" s="99">
        <f t="shared" ref="AD490:AD495" si="86">AA490</f>
        <v>1927360.82</v>
      </c>
      <c r="AE490" s="101"/>
      <c r="AF490" s="96">
        <v>2022</v>
      </c>
      <c r="AG490" s="96">
        <v>2022</v>
      </c>
    </row>
    <row r="491" spans="1:33" ht="84.9" hidden="1" customHeight="1" x14ac:dyDescent="0.45">
      <c r="A491" s="96">
        <v>471</v>
      </c>
      <c r="B491" s="96" t="s">
        <v>587</v>
      </c>
      <c r="C491" s="96" t="s">
        <v>335</v>
      </c>
      <c r="D491" s="96">
        <v>1977</v>
      </c>
      <c r="E491" s="96">
        <v>9</v>
      </c>
      <c r="F491" s="96">
        <v>1</v>
      </c>
      <c r="G491" s="97">
        <v>2739.44</v>
      </c>
      <c r="H491" s="97">
        <v>2739.44</v>
      </c>
      <c r="I491" s="97">
        <v>2739.44</v>
      </c>
      <c r="J491" s="96">
        <v>105</v>
      </c>
      <c r="K491" s="96" t="s">
        <v>365</v>
      </c>
      <c r="L491" s="96" t="s">
        <v>366</v>
      </c>
      <c r="M491" s="96"/>
      <c r="N491" s="99"/>
      <c r="O491" s="99"/>
      <c r="P491" s="99"/>
      <c r="Q491" s="99"/>
      <c r="R491" s="117"/>
      <c r="S491" s="99"/>
      <c r="T491" s="99"/>
      <c r="U491" s="99">
        <v>1851415.78</v>
      </c>
      <c r="V491" s="99"/>
      <c r="W491" s="99"/>
      <c r="X491" s="99"/>
      <c r="Y491" s="99"/>
      <c r="Z491" s="99">
        <v>75945.039999999994</v>
      </c>
      <c r="AA491" s="99">
        <f t="shared" si="85"/>
        <v>1927360.82</v>
      </c>
      <c r="AB491" s="99"/>
      <c r="AC491" s="99"/>
      <c r="AD491" s="99">
        <f t="shared" si="86"/>
        <v>1927360.82</v>
      </c>
      <c r="AE491" s="101"/>
      <c r="AF491" s="96">
        <v>2022</v>
      </c>
      <c r="AG491" s="96">
        <v>2022</v>
      </c>
    </row>
    <row r="492" spans="1:33" ht="84.9" hidden="1" customHeight="1" x14ac:dyDescent="0.45">
      <c r="A492" s="96">
        <v>472</v>
      </c>
      <c r="B492" s="96" t="s">
        <v>587</v>
      </c>
      <c r="C492" s="96" t="s">
        <v>336</v>
      </c>
      <c r="D492" s="96">
        <v>1977</v>
      </c>
      <c r="E492" s="96">
        <v>9</v>
      </c>
      <c r="F492" s="96">
        <v>2</v>
      </c>
      <c r="G492" s="97">
        <v>4529.1000000000004</v>
      </c>
      <c r="H492" s="97">
        <v>4529.1000000000004</v>
      </c>
      <c r="I492" s="97">
        <v>4529.1000000000004</v>
      </c>
      <c r="J492" s="96">
        <v>166</v>
      </c>
      <c r="K492" s="96" t="s">
        <v>365</v>
      </c>
      <c r="L492" s="96" t="s">
        <v>366</v>
      </c>
      <c r="M492" s="96"/>
      <c r="N492" s="99"/>
      <c r="O492" s="99"/>
      <c r="P492" s="99"/>
      <c r="Q492" s="99"/>
      <c r="R492" s="117"/>
      <c r="S492" s="99"/>
      <c r="T492" s="99"/>
      <c r="U492" s="99">
        <v>3702831.57</v>
      </c>
      <c r="V492" s="99"/>
      <c r="W492" s="99"/>
      <c r="X492" s="99"/>
      <c r="Y492" s="99"/>
      <c r="Z492" s="99">
        <v>151890.07999999999</v>
      </c>
      <c r="AA492" s="99">
        <f t="shared" si="85"/>
        <v>3854721.65</v>
      </c>
      <c r="AB492" s="99"/>
      <c r="AC492" s="99"/>
      <c r="AD492" s="99">
        <f t="shared" si="86"/>
        <v>3854721.65</v>
      </c>
      <c r="AE492" s="101"/>
      <c r="AF492" s="96">
        <v>2022</v>
      </c>
      <c r="AG492" s="96">
        <v>2022</v>
      </c>
    </row>
    <row r="493" spans="1:33" ht="84.9" hidden="1" customHeight="1" x14ac:dyDescent="0.45">
      <c r="A493" s="96">
        <v>473</v>
      </c>
      <c r="B493" s="96" t="s">
        <v>587</v>
      </c>
      <c r="C493" s="96" t="s">
        <v>337</v>
      </c>
      <c r="D493" s="96">
        <v>1976</v>
      </c>
      <c r="E493" s="96">
        <v>9</v>
      </c>
      <c r="F493" s="96">
        <v>4</v>
      </c>
      <c r="G493" s="97">
        <v>8913</v>
      </c>
      <c r="H493" s="97">
        <v>8913</v>
      </c>
      <c r="I493" s="97">
        <v>8913</v>
      </c>
      <c r="J493" s="96">
        <v>331</v>
      </c>
      <c r="K493" s="96" t="s">
        <v>365</v>
      </c>
      <c r="L493" s="96" t="s">
        <v>366</v>
      </c>
      <c r="M493" s="96"/>
      <c r="N493" s="99"/>
      <c r="O493" s="99"/>
      <c r="P493" s="99"/>
      <c r="Q493" s="99"/>
      <c r="R493" s="117"/>
      <c r="S493" s="99"/>
      <c r="T493" s="99"/>
      <c r="U493" s="99">
        <v>7405663.1399999997</v>
      </c>
      <c r="V493" s="99"/>
      <c r="W493" s="99"/>
      <c r="X493" s="99"/>
      <c r="Y493" s="99"/>
      <c r="Z493" s="99">
        <v>303780.15999999997</v>
      </c>
      <c r="AA493" s="99">
        <f t="shared" si="85"/>
        <v>7709443.2999999998</v>
      </c>
      <c r="AB493" s="99"/>
      <c r="AC493" s="99"/>
      <c r="AD493" s="99">
        <f t="shared" si="86"/>
        <v>7709443.2999999998</v>
      </c>
      <c r="AE493" s="101"/>
      <c r="AF493" s="96">
        <v>2022</v>
      </c>
      <c r="AG493" s="96">
        <v>2022</v>
      </c>
    </row>
    <row r="494" spans="1:33" ht="84.9" hidden="1" customHeight="1" x14ac:dyDescent="0.45">
      <c r="A494" s="96">
        <v>474</v>
      </c>
      <c r="B494" s="96" t="s">
        <v>587</v>
      </c>
      <c r="C494" s="96" t="s">
        <v>338</v>
      </c>
      <c r="D494" s="96">
        <v>1976</v>
      </c>
      <c r="E494" s="96">
        <v>9</v>
      </c>
      <c r="F494" s="96">
        <v>6</v>
      </c>
      <c r="G494" s="97">
        <v>3099.1</v>
      </c>
      <c r="H494" s="97">
        <v>13691.3</v>
      </c>
      <c r="I494" s="97">
        <v>13691.3</v>
      </c>
      <c r="J494" s="96">
        <v>524</v>
      </c>
      <c r="K494" s="96" t="s">
        <v>365</v>
      </c>
      <c r="L494" s="96" t="s">
        <v>366</v>
      </c>
      <c r="M494" s="96"/>
      <c r="N494" s="99"/>
      <c r="O494" s="99"/>
      <c r="P494" s="99"/>
      <c r="Q494" s="99"/>
      <c r="R494" s="117"/>
      <c r="S494" s="99"/>
      <c r="T494" s="99"/>
      <c r="U494" s="99">
        <v>9257078.9199999999</v>
      </c>
      <c r="V494" s="99"/>
      <c r="W494" s="99"/>
      <c r="X494" s="99"/>
      <c r="Y494" s="99"/>
      <c r="Z494" s="99">
        <v>379725.2</v>
      </c>
      <c r="AA494" s="99">
        <f t="shared" si="85"/>
        <v>9636804.1199999992</v>
      </c>
      <c r="AB494" s="99"/>
      <c r="AC494" s="99"/>
      <c r="AD494" s="99">
        <f t="shared" si="86"/>
        <v>9636804.1199999992</v>
      </c>
      <c r="AE494" s="101"/>
      <c r="AF494" s="96">
        <v>2022</v>
      </c>
      <c r="AG494" s="96">
        <v>2022</v>
      </c>
    </row>
    <row r="495" spans="1:33" ht="84.9" hidden="1" customHeight="1" x14ac:dyDescent="0.45">
      <c r="A495" s="96">
        <v>475</v>
      </c>
      <c r="B495" s="96" t="s">
        <v>587</v>
      </c>
      <c r="C495" s="96" t="s">
        <v>339</v>
      </c>
      <c r="D495" s="96">
        <v>1977</v>
      </c>
      <c r="E495" s="96">
        <v>9</v>
      </c>
      <c r="F495" s="96">
        <v>1</v>
      </c>
      <c r="G495" s="97">
        <v>1855</v>
      </c>
      <c r="H495" s="97">
        <v>1855</v>
      </c>
      <c r="I495" s="97">
        <v>1855</v>
      </c>
      <c r="J495" s="96">
        <v>75</v>
      </c>
      <c r="K495" s="96" t="s">
        <v>365</v>
      </c>
      <c r="L495" s="96" t="s">
        <v>366</v>
      </c>
      <c r="M495" s="96"/>
      <c r="N495" s="99"/>
      <c r="O495" s="99"/>
      <c r="P495" s="99"/>
      <c r="Q495" s="99"/>
      <c r="R495" s="117"/>
      <c r="S495" s="99"/>
      <c r="T495" s="99"/>
      <c r="U495" s="99">
        <v>1851415.78</v>
      </c>
      <c r="V495" s="99"/>
      <c r="W495" s="99"/>
      <c r="X495" s="99"/>
      <c r="Y495" s="99"/>
      <c r="Z495" s="99">
        <v>75945.039999999994</v>
      </c>
      <c r="AA495" s="99">
        <f t="shared" si="85"/>
        <v>1927360.82</v>
      </c>
      <c r="AB495" s="99"/>
      <c r="AC495" s="99"/>
      <c r="AD495" s="99">
        <f t="shared" si="86"/>
        <v>1927360.82</v>
      </c>
      <c r="AE495" s="101"/>
      <c r="AF495" s="96">
        <v>2022</v>
      </c>
      <c r="AG495" s="96">
        <v>2022</v>
      </c>
    </row>
    <row r="496" spans="1:33" ht="67.5" hidden="1" customHeight="1" x14ac:dyDescent="0.45">
      <c r="A496" s="361" t="s">
        <v>544</v>
      </c>
      <c r="B496" s="361"/>
      <c r="C496" s="361"/>
      <c r="D496" s="361"/>
      <c r="E496" s="361"/>
      <c r="F496" s="361"/>
      <c r="G496" s="361"/>
      <c r="H496" s="361"/>
      <c r="I496" s="361"/>
      <c r="J496" s="361"/>
      <c r="K496" s="361"/>
      <c r="L496" s="361"/>
      <c r="M496" s="361"/>
      <c r="N496" s="99">
        <f t="shared" ref="N496:U496" si="87">SUM(N270:N495)</f>
        <v>10735303.509999998</v>
      </c>
      <c r="O496" s="99">
        <f t="shared" si="87"/>
        <v>400959001.96000046</v>
      </c>
      <c r="P496" s="99">
        <f t="shared" si="87"/>
        <v>12062533.540000001</v>
      </c>
      <c r="Q496" s="99">
        <f t="shared" si="87"/>
        <v>12165271.299999999</v>
      </c>
      <c r="R496" s="99">
        <f t="shared" si="87"/>
        <v>3646231.5317000002</v>
      </c>
      <c r="S496" s="99">
        <f t="shared" si="87"/>
        <v>17358937.379999999</v>
      </c>
      <c r="T496" s="99">
        <f t="shared" si="87"/>
        <v>1787495.94</v>
      </c>
      <c r="U496" s="99">
        <f t="shared" si="87"/>
        <v>273455288.69999981</v>
      </c>
      <c r="V496" s="99">
        <f>SUM(V270:V495)+18732841.8</f>
        <v>910440647.60000014</v>
      </c>
      <c r="W496" s="99">
        <f t="shared" ref="W496:AB496" si="88">SUM(W270:W495)</f>
        <v>17611263.58433</v>
      </c>
      <c r="X496" s="99">
        <f t="shared" si="88"/>
        <v>590069264.84698987</v>
      </c>
      <c r="Y496" s="99">
        <f t="shared" si="88"/>
        <v>15192566.66243</v>
      </c>
      <c r="Z496" s="99">
        <f t="shared" si="88"/>
        <v>109345397.64000002</v>
      </c>
      <c r="AA496" s="99">
        <f t="shared" si="88"/>
        <v>2374829204.1954484</v>
      </c>
      <c r="AB496" s="99">
        <f t="shared" si="88"/>
        <v>1337588623.8400006</v>
      </c>
      <c r="AC496" s="99"/>
      <c r="AD496" s="99">
        <f>SUM(AD270:AD495)</f>
        <v>1037240580.3554502</v>
      </c>
      <c r="AE496" s="99"/>
      <c r="AF496" s="120"/>
      <c r="AG496" s="120"/>
    </row>
    <row r="497" spans="1:34" ht="43.2" customHeight="1" x14ac:dyDescent="0.4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73"/>
      <c r="AG497" s="73"/>
    </row>
    <row r="498" spans="1:34" s="89" customFormat="1" ht="52.2" customHeight="1" x14ac:dyDescent="1.1499999999999999">
      <c r="A498" s="105" t="s">
        <v>546</v>
      </c>
      <c r="B498" s="105"/>
      <c r="C498" s="105"/>
      <c r="D498" s="106"/>
      <c r="E498" s="106"/>
      <c r="F498" s="106"/>
      <c r="G498" s="106"/>
      <c r="H498" s="106"/>
      <c r="I498" s="106"/>
      <c r="J498" s="106"/>
      <c r="K498" s="108"/>
      <c r="L498" s="106"/>
      <c r="M498" s="105"/>
      <c r="N498" s="109"/>
      <c r="O498" s="109"/>
      <c r="P498" s="109"/>
      <c r="Q498" s="109"/>
      <c r="R498" s="109"/>
      <c r="S498" s="109"/>
      <c r="T498" s="109"/>
      <c r="U498" s="118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5"/>
      <c r="AF498" s="105"/>
      <c r="AG498" s="105"/>
      <c r="AH498" s="112"/>
    </row>
    <row r="499" spans="1:34" s="89" customFormat="1" ht="52.2" customHeight="1" x14ac:dyDescent="1.1499999999999999">
      <c r="A499" s="107" t="s">
        <v>547</v>
      </c>
      <c r="B499" s="107"/>
      <c r="C499" s="107"/>
      <c r="D499" s="106"/>
      <c r="E499" s="106"/>
      <c r="F499" s="106"/>
      <c r="G499" s="106"/>
      <c r="H499" s="106"/>
      <c r="I499" s="106"/>
      <c r="J499" s="110"/>
      <c r="K499" s="111"/>
      <c r="L499" s="110"/>
      <c r="M499" s="112"/>
      <c r="N499" s="113"/>
      <c r="O499" s="113"/>
      <c r="P499" s="113"/>
      <c r="Q499" s="113"/>
      <c r="R499" s="113"/>
      <c r="S499" s="113"/>
      <c r="T499" s="113"/>
      <c r="U499" s="119"/>
      <c r="V499" s="113"/>
      <c r="W499" s="113"/>
      <c r="X499" s="113"/>
      <c r="Y499" s="113"/>
      <c r="Z499" s="109"/>
      <c r="AA499" s="109"/>
      <c r="AB499" s="109"/>
      <c r="AC499" s="109"/>
      <c r="AD499" s="109"/>
      <c r="AE499" s="105"/>
      <c r="AF499" s="105"/>
      <c r="AG499" s="105"/>
      <c r="AH499" s="112"/>
    </row>
    <row r="500" spans="1:34" s="89" customFormat="1" ht="52.2" customHeight="1" x14ac:dyDescent="1.1499999999999999">
      <c r="A500" s="105" t="s">
        <v>548</v>
      </c>
      <c r="B500" s="105"/>
      <c r="C500" s="105"/>
      <c r="D500" s="106"/>
      <c r="E500" s="106"/>
      <c r="F500" s="106"/>
      <c r="G500" s="106"/>
      <c r="H500" s="106"/>
      <c r="I500" s="106"/>
      <c r="J500" s="106"/>
      <c r="K500" s="106"/>
      <c r="L500" s="106"/>
      <c r="M500" s="105"/>
      <c r="N500" s="109"/>
      <c r="O500" s="109"/>
      <c r="P500" s="109"/>
      <c r="Q500" s="109"/>
      <c r="R500" s="109"/>
      <c r="S500" s="113"/>
      <c r="T500" s="113"/>
      <c r="U500" s="119"/>
      <c r="V500" s="113"/>
      <c r="W500" s="113"/>
      <c r="X500" s="113"/>
      <c r="Y500" s="113"/>
      <c r="Z500" s="109"/>
      <c r="AA500" s="109"/>
      <c r="AB500" s="109"/>
      <c r="AC500" s="109"/>
      <c r="AD500" s="109"/>
      <c r="AE500" s="105"/>
      <c r="AF500" s="105"/>
      <c r="AG500" s="105"/>
      <c r="AH500" s="112"/>
    </row>
    <row r="501" spans="1:34" s="89" customFormat="1" ht="52.2" customHeight="1" x14ac:dyDescent="1.1499999999999999">
      <c r="A501" s="105" t="s">
        <v>549</v>
      </c>
      <c r="B501" s="105"/>
      <c r="C501" s="105"/>
      <c r="D501" s="106"/>
      <c r="E501" s="106"/>
      <c r="F501" s="106"/>
      <c r="G501" s="106"/>
      <c r="H501" s="106"/>
      <c r="I501" s="106"/>
      <c r="J501" s="106"/>
      <c r="K501" s="106"/>
      <c r="L501" s="106"/>
      <c r="M501" s="105"/>
      <c r="N501" s="109"/>
      <c r="O501" s="109"/>
      <c r="P501" s="109"/>
      <c r="Q501" s="109"/>
      <c r="R501" s="109"/>
      <c r="S501" s="113"/>
      <c r="T501" s="113"/>
      <c r="U501" s="119"/>
      <c r="V501" s="113"/>
      <c r="W501" s="113"/>
      <c r="X501" s="113"/>
      <c r="Y501" s="113"/>
      <c r="Z501" s="109"/>
      <c r="AA501" s="109"/>
      <c r="AB501" s="109"/>
      <c r="AC501" s="109"/>
      <c r="AD501" s="109"/>
      <c r="AE501" s="105"/>
      <c r="AF501" s="105"/>
      <c r="AG501" s="105"/>
      <c r="AH501" s="112"/>
    </row>
    <row r="502" spans="1:34" s="89" customFormat="1" ht="52.2" customHeight="1" x14ac:dyDescent="1.1499999999999999">
      <c r="A502" s="107" t="s">
        <v>550</v>
      </c>
      <c r="B502" s="107"/>
      <c r="C502" s="107"/>
      <c r="D502" s="106"/>
      <c r="E502" s="106"/>
      <c r="F502" s="106"/>
      <c r="G502" s="106"/>
      <c r="H502" s="106"/>
      <c r="I502" s="106"/>
      <c r="J502" s="110"/>
      <c r="K502" s="111"/>
      <c r="L502" s="110"/>
      <c r="M502" s="112"/>
      <c r="N502" s="113"/>
      <c r="O502" s="113"/>
      <c r="P502" s="113"/>
      <c r="Q502" s="113"/>
      <c r="R502" s="113"/>
      <c r="S502" s="113"/>
      <c r="T502" s="113"/>
      <c r="U502" s="119"/>
      <c r="V502" s="113"/>
      <c r="W502" s="113"/>
      <c r="X502" s="113"/>
      <c r="Y502" s="113"/>
      <c r="Z502" s="109"/>
      <c r="AA502" s="109"/>
      <c r="AB502" s="109"/>
      <c r="AC502" s="109"/>
      <c r="AD502" s="109"/>
      <c r="AE502" s="105"/>
      <c r="AF502" s="105"/>
      <c r="AG502" s="105"/>
      <c r="AH502" s="112"/>
    </row>
    <row r="503" spans="1:34" s="89" customFormat="1" ht="52.2" customHeight="1" x14ac:dyDescent="1.1499999999999999">
      <c r="A503" s="105" t="s">
        <v>551</v>
      </c>
      <c r="B503" s="105"/>
      <c r="C503" s="105"/>
      <c r="D503" s="106"/>
      <c r="E503" s="106"/>
      <c r="F503" s="106"/>
      <c r="G503" s="106"/>
      <c r="H503" s="106"/>
      <c r="I503" s="106"/>
      <c r="J503" s="110"/>
      <c r="K503" s="111"/>
      <c r="L503" s="110"/>
      <c r="M503" s="114"/>
      <c r="N503" s="115"/>
      <c r="O503" s="115"/>
      <c r="P503" s="115"/>
      <c r="Q503" s="115"/>
      <c r="R503" s="115"/>
      <c r="S503" s="115"/>
      <c r="T503" s="115"/>
      <c r="U503" s="119"/>
      <c r="V503" s="113"/>
      <c r="W503" s="113"/>
      <c r="X503" s="113"/>
      <c r="Y503" s="113"/>
      <c r="Z503" s="116"/>
      <c r="AA503" s="116"/>
      <c r="AB503" s="116"/>
      <c r="AC503" s="116"/>
      <c r="AD503" s="116"/>
      <c r="AE503" s="107"/>
      <c r="AF503" s="107"/>
      <c r="AG503" s="107"/>
      <c r="AH503" s="112"/>
    </row>
    <row r="504" spans="1:34" s="89" customFormat="1" ht="52.2" customHeight="1" x14ac:dyDescent="1.1499999999999999">
      <c r="A504" s="107" t="s">
        <v>552</v>
      </c>
      <c r="B504" s="107"/>
      <c r="C504" s="107"/>
      <c r="D504" s="106"/>
      <c r="E504" s="106"/>
      <c r="F504" s="106"/>
      <c r="G504" s="106"/>
      <c r="H504" s="106"/>
      <c r="I504" s="106"/>
      <c r="J504" s="106"/>
      <c r="K504" s="111"/>
      <c r="L504" s="110"/>
      <c r="M504" s="112"/>
      <c r="N504" s="113"/>
      <c r="O504" s="113"/>
      <c r="P504" s="113"/>
      <c r="Q504" s="113"/>
      <c r="R504" s="113"/>
      <c r="S504" s="113"/>
      <c r="T504" s="113"/>
      <c r="U504" s="119"/>
      <c r="V504" s="113"/>
      <c r="W504" s="113"/>
      <c r="X504" s="113"/>
      <c r="Y504" s="113"/>
      <c r="Z504" s="116"/>
      <c r="AA504" s="116"/>
      <c r="AB504" s="116"/>
      <c r="AC504" s="116"/>
      <c r="AD504" s="116"/>
      <c r="AE504" s="107"/>
      <c r="AF504" s="107"/>
      <c r="AG504" s="107"/>
      <c r="AH504" s="112"/>
    </row>
    <row r="505" spans="1:34" s="89" customFormat="1" ht="51.6" customHeight="1" x14ac:dyDescent="1.1499999999999999">
      <c r="A505" s="105" t="s">
        <v>553</v>
      </c>
      <c r="B505" s="105"/>
      <c r="C505" s="105"/>
      <c r="D505" s="106"/>
      <c r="E505" s="106"/>
      <c r="F505" s="106"/>
      <c r="G505" s="106"/>
      <c r="H505" s="106"/>
      <c r="I505" s="106"/>
      <c r="J505" s="110"/>
      <c r="K505" s="111"/>
      <c r="L505" s="110"/>
      <c r="M505" s="114"/>
      <c r="N505" s="115"/>
      <c r="O505" s="115"/>
      <c r="P505" s="115"/>
      <c r="Q505" s="115"/>
      <c r="R505" s="115"/>
      <c r="S505" s="115"/>
      <c r="T505" s="115"/>
      <c r="U505" s="119"/>
      <c r="V505" s="113"/>
      <c r="W505" s="113"/>
      <c r="X505" s="113"/>
      <c r="Y505" s="113"/>
      <c r="Z505" s="116"/>
      <c r="AA505" s="116"/>
      <c r="AB505" s="116"/>
      <c r="AC505" s="116"/>
      <c r="AD505" s="116"/>
      <c r="AE505" s="107"/>
      <c r="AF505" s="107"/>
      <c r="AG505" s="107"/>
      <c r="AH505" s="112"/>
    </row>
    <row r="506" spans="1:34" s="89" customFormat="1" ht="52.2" customHeight="1" x14ac:dyDescent="1.1499999999999999">
      <c r="A506" s="362" t="s">
        <v>851</v>
      </c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362"/>
      <c r="W506" s="362"/>
      <c r="X506" s="362"/>
      <c r="Y506" s="362"/>
      <c r="Z506" s="362"/>
      <c r="AA506" s="362"/>
      <c r="AB506" s="362"/>
      <c r="AC506" s="362"/>
      <c r="AD506" s="362"/>
      <c r="AE506" s="362"/>
      <c r="AF506" s="362"/>
      <c r="AG506" s="362"/>
      <c r="AH506" s="112"/>
    </row>
    <row r="507" spans="1:34" s="90" customFormat="1" ht="52.2" customHeight="1" x14ac:dyDescent="1.1000000000000001">
      <c r="A507" s="107" t="s">
        <v>852</v>
      </c>
      <c r="B507" s="107"/>
      <c r="C507" s="107"/>
      <c r="D507" s="106"/>
      <c r="E507" s="106"/>
      <c r="F507" s="106"/>
      <c r="G507" s="106"/>
      <c r="H507" s="106"/>
      <c r="I507" s="106"/>
      <c r="J507" s="106"/>
      <c r="K507" s="106"/>
      <c r="L507" s="106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</row>
    <row r="508" spans="1:34" s="89" customFormat="1" ht="52.2" customHeight="1" x14ac:dyDescent="1.1499999999999999">
      <c r="A508" s="105" t="s">
        <v>557</v>
      </c>
      <c r="B508" s="105"/>
      <c r="C508" s="105"/>
      <c r="D508" s="106"/>
      <c r="E508" s="106"/>
      <c r="F508" s="106"/>
      <c r="G508" s="106"/>
      <c r="H508" s="106"/>
      <c r="I508" s="106"/>
      <c r="J508" s="106"/>
      <c r="K508" s="106"/>
      <c r="L508" s="106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</row>
    <row r="509" spans="1:34" s="89" customFormat="1" ht="52.2" customHeight="1" x14ac:dyDescent="1.1499999999999999">
      <c r="A509" s="105" t="s">
        <v>556</v>
      </c>
      <c r="B509" s="105"/>
      <c r="C509" s="105"/>
      <c r="D509" s="106"/>
      <c r="E509" s="106"/>
      <c r="F509" s="106"/>
      <c r="G509" s="106"/>
      <c r="H509" s="106"/>
      <c r="I509" s="106"/>
      <c r="J509" s="110"/>
      <c r="K509" s="111"/>
      <c r="L509" s="110"/>
      <c r="M509" s="114"/>
      <c r="N509" s="115"/>
      <c r="O509" s="115"/>
      <c r="P509" s="115"/>
      <c r="Q509" s="115"/>
      <c r="R509" s="115"/>
      <c r="S509" s="115"/>
      <c r="T509" s="115"/>
      <c r="U509" s="119"/>
      <c r="V509" s="113"/>
      <c r="W509" s="113"/>
      <c r="X509" s="113"/>
      <c r="Y509" s="113"/>
      <c r="Z509" s="116"/>
      <c r="AA509" s="116"/>
      <c r="AB509" s="116"/>
      <c r="AC509" s="116"/>
      <c r="AD509" s="116"/>
      <c r="AE509" s="107"/>
      <c r="AF509" s="107"/>
      <c r="AG509" s="107"/>
      <c r="AH509" s="112"/>
    </row>
    <row r="510" spans="1:34" s="89" customFormat="1" ht="52.2" customHeight="1" x14ac:dyDescent="1.1499999999999999">
      <c r="A510" s="105" t="s">
        <v>558</v>
      </c>
      <c r="B510" s="105"/>
      <c r="C510" s="105"/>
      <c r="D510" s="106"/>
      <c r="E510" s="106"/>
      <c r="F510" s="106"/>
      <c r="G510" s="106"/>
      <c r="H510" s="106"/>
      <c r="I510" s="106"/>
      <c r="J510" s="106"/>
      <c r="K510" s="106"/>
      <c r="L510" s="106"/>
      <c r="M510" s="105"/>
      <c r="N510" s="105"/>
      <c r="O510" s="105"/>
      <c r="P510" s="116"/>
      <c r="Q510" s="116"/>
      <c r="R510" s="116"/>
      <c r="S510" s="116"/>
      <c r="T510" s="116"/>
      <c r="U510" s="118"/>
      <c r="V510" s="116"/>
      <c r="W510" s="116"/>
      <c r="X510" s="116"/>
      <c r="Y510" s="116"/>
      <c r="Z510" s="116"/>
      <c r="AA510" s="116"/>
      <c r="AB510" s="116"/>
      <c r="AC510" s="116"/>
      <c r="AD510" s="116"/>
      <c r="AE510" s="107"/>
      <c r="AF510" s="107"/>
      <c r="AG510" s="107"/>
      <c r="AH510" s="112"/>
    </row>
    <row r="511" spans="1:34" s="89" customFormat="1" ht="52.2" customHeight="1" x14ac:dyDescent="1.1499999999999999">
      <c r="A511" s="356" t="s">
        <v>559</v>
      </c>
      <c r="B511" s="356"/>
      <c r="C511" s="356"/>
      <c r="D511" s="356"/>
      <c r="E511" s="356"/>
      <c r="F511" s="356"/>
      <c r="G511" s="356"/>
      <c r="H511" s="356"/>
      <c r="I511" s="356"/>
      <c r="J511" s="356"/>
      <c r="K511" s="356"/>
      <c r="L511" s="356"/>
      <c r="M511" s="356"/>
      <c r="N511" s="356"/>
      <c r="O511" s="356"/>
      <c r="P511" s="356"/>
      <c r="Q511" s="356"/>
      <c r="R511" s="356"/>
      <c r="S511" s="356"/>
      <c r="T511" s="356"/>
      <c r="U511" s="356"/>
      <c r="V511" s="356"/>
      <c r="W511" s="356"/>
      <c r="X511" s="356"/>
      <c r="Y511" s="356"/>
      <c r="Z511" s="356"/>
      <c r="AA511" s="356"/>
      <c r="AB511" s="356"/>
      <c r="AC511" s="356"/>
      <c r="AD511" s="356"/>
      <c r="AE511" s="356"/>
      <c r="AF511" s="356"/>
      <c r="AG511" s="356"/>
      <c r="AH511" s="356"/>
    </row>
    <row r="512" spans="1:34" s="89" customFormat="1" ht="52.2" customHeight="1" x14ac:dyDescent="1.1499999999999999">
      <c r="A512" s="356" t="s">
        <v>560</v>
      </c>
      <c r="B512" s="356"/>
      <c r="C512" s="356"/>
      <c r="D512" s="356"/>
      <c r="E512" s="356"/>
      <c r="F512" s="356"/>
      <c r="G512" s="356"/>
      <c r="H512" s="356"/>
      <c r="I512" s="356"/>
      <c r="J512" s="356"/>
      <c r="K512" s="356"/>
      <c r="L512" s="356"/>
      <c r="M512" s="356"/>
      <c r="N512" s="356"/>
      <c r="O512" s="356"/>
      <c r="P512" s="356"/>
      <c r="Q512" s="356"/>
      <c r="R512" s="356"/>
      <c r="S512" s="356"/>
      <c r="T512" s="356"/>
      <c r="U512" s="356"/>
      <c r="V512" s="356"/>
      <c r="W512" s="356"/>
      <c r="X512" s="356"/>
      <c r="Y512" s="356"/>
      <c r="Z512" s="356"/>
      <c r="AA512" s="356"/>
      <c r="AB512" s="356"/>
      <c r="AC512" s="356"/>
      <c r="AD512" s="356"/>
      <c r="AE512" s="356"/>
      <c r="AF512" s="356"/>
      <c r="AG512" s="356"/>
      <c r="AH512" s="356"/>
    </row>
    <row r="513" spans="1:36" s="89" customFormat="1" ht="51.6" customHeight="1" x14ac:dyDescent="1.1499999999999999">
      <c r="A513" s="105" t="s">
        <v>561</v>
      </c>
      <c r="B513" s="105"/>
      <c r="C513" s="105"/>
      <c r="D513" s="106"/>
      <c r="E513" s="106"/>
      <c r="F513" s="106"/>
      <c r="G513" s="106"/>
      <c r="H513" s="106"/>
      <c r="I513" s="106"/>
      <c r="J513" s="106"/>
      <c r="K513" s="106"/>
      <c r="L513" s="106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21"/>
      <c r="AJ513" s="121"/>
    </row>
    <row r="514" spans="1:36" s="89" customFormat="1" ht="51.6" customHeight="1" x14ac:dyDescent="1.1499999999999999">
      <c r="A514" s="105" t="s">
        <v>562</v>
      </c>
      <c r="B514" s="105"/>
      <c r="C514" s="105"/>
      <c r="D514" s="106"/>
      <c r="E514" s="106"/>
      <c r="F514" s="106"/>
      <c r="G514" s="106"/>
      <c r="H514" s="106"/>
      <c r="I514" s="106"/>
      <c r="J514" s="106"/>
      <c r="K514" s="106"/>
      <c r="L514" s="106"/>
      <c r="M514" s="105"/>
      <c r="N514" s="105"/>
      <c r="O514" s="105"/>
      <c r="P514" s="116"/>
      <c r="Q514" s="116"/>
      <c r="R514" s="116"/>
      <c r="S514" s="116"/>
      <c r="T514" s="116"/>
      <c r="U514" s="118"/>
      <c r="V514" s="116"/>
      <c r="W514" s="116"/>
      <c r="X514" s="116"/>
      <c r="Y514" s="116"/>
      <c r="Z514" s="116"/>
      <c r="AA514" s="116"/>
      <c r="AB514" s="116"/>
      <c r="AC514" s="116"/>
      <c r="AD514" s="116"/>
      <c r="AE514" s="107"/>
      <c r="AF514" s="107"/>
      <c r="AG514" s="107"/>
      <c r="AH514" s="112"/>
      <c r="AI514" s="121"/>
      <c r="AJ514" s="121"/>
    </row>
    <row r="515" spans="1:36" s="91" customFormat="1" ht="60" customHeight="1" x14ac:dyDescent="0.25">
      <c r="A515" s="363" t="s">
        <v>853</v>
      </c>
      <c r="B515" s="364"/>
      <c r="C515" s="364"/>
      <c r="D515" s="364"/>
      <c r="E515" s="364"/>
      <c r="F515" s="364"/>
      <c r="G515" s="364"/>
      <c r="H515" s="364"/>
      <c r="I515" s="364"/>
      <c r="J515" s="364"/>
      <c r="K515" s="364"/>
      <c r="L515" s="364"/>
      <c r="M515" s="364"/>
      <c r="N515" s="364"/>
      <c r="O515" s="364"/>
      <c r="P515" s="364"/>
      <c r="Q515" s="364"/>
      <c r="R515" s="364"/>
      <c r="S515" s="364"/>
      <c r="T515" s="364"/>
      <c r="U515" s="364"/>
      <c r="V515" s="364"/>
      <c r="W515" s="364"/>
      <c r="X515" s="364"/>
      <c r="Y515" s="364"/>
      <c r="Z515" s="364"/>
      <c r="AA515" s="364"/>
      <c r="AB515" s="364"/>
      <c r="AC515" s="364"/>
      <c r="AD515" s="364"/>
      <c r="AE515" s="364"/>
      <c r="AF515" s="364"/>
      <c r="AG515" s="364"/>
      <c r="AH515" s="122"/>
      <c r="AI515" s="355"/>
      <c r="AJ515" s="355"/>
    </row>
    <row r="516" spans="1:36" s="89" customFormat="1" ht="52.2" customHeight="1" x14ac:dyDescent="1.1499999999999999">
      <c r="A516" s="356" t="s">
        <v>854</v>
      </c>
      <c r="B516" s="356"/>
      <c r="C516" s="356"/>
      <c r="D516" s="356"/>
      <c r="E516" s="356"/>
      <c r="F516" s="356"/>
      <c r="G516" s="356"/>
      <c r="H516" s="356"/>
      <c r="I516" s="356"/>
      <c r="J516" s="356"/>
      <c r="K516" s="356"/>
      <c r="L516" s="356"/>
      <c r="M516" s="356"/>
      <c r="N516" s="356"/>
      <c r="O516" s="356"/>
      <c r="P516" s="356"/>
      <c r="Q516" s="356"/>
      <c r="R516" s="356"/>
      <c r="S516" s="356"/>
      <c r="T516" s="356"/>
      <c r="U516" s="356"/>
      <c r="V516" s="356"/>
      <c r="W516" s="356"/>
      <c r="X516" s="356"/>
      <c r="Y516" s="356"/>
      <c r="Z516" s="356"/>
      <c r="AA516" s="356"/>
      <c r="AB516" s="356"/>
      <c r="AC516" s="356"/>
      <c r="AD516" s="356"/>
      <c r="AE516" s="356"/>
      <c r="AF516" s="356"/>
      <c r="AG516" s="356"/>
      <c r="AH516" s="356"/>
      <c r="AI516" s="123"/>
      <c r="AJ516" s="123"/>
    </row>
    <row r="517" spans="1:36" ht="59.4" customHeight="1" x14ac:dyDescent="0.45">
      <c r="I517" s="61"/>
      <c r="J517" s="61"/>
      <c r="K517" s="62"/>
      <c r="L517" s="61"/>
      <c r="M517" s="63"/>
      <c r="N517" s="64"/>
      <c r="O517" s="64"/>
      <c r="P517" s="64"/>
      <c r="Q517" s="64"/>
      <c r="R517" s="64"/>
      <c r="S517" s="64"/>
      <c r="T517" s="64"/>
      <c r="U517" s="71"/>
      <c r="V517" s="64"/>
      <c r="W517" s="64"/>
      <c r="X517" s="64"/>
      <c r="Y517" s="64"/>
      <c r="Z517" s="64"/>
      <c r="AA517" s="65"/>
      <c r="AB517" s="65"/>
      <c r="AC517" s="65"/>
      <c r="AD517" s="65"/>
      <c r="AE517" s="5"/>
      <c r="AF517" s="5"/>
      <c r="AG517" s="5"/>
    </row>
    <row r="518" spans="1:36" ht="15.75" customHeight="1" x14ac:dyDescent="0.45">
      <c r="M518" s="5"/>
      <c r="N518" s="65"/>
      <c r="O518" s="65"/>
      <c r="P518" s="65"/>
      <c r="Q518" s="65"/>
      <c r="R518" s="65"/>
      <c r="S518" s="65"/>
      <c r="T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5"/>
      <c r="AF518" s="5"/>
      <c r="AG518" s="5"/>
    </row>
    <row r="519" spans="1:36" ht="15.75" customHeight="1" x14ac:dyDescent="0.45">
      <c r="R519" s="65"/>
      <c r="S519" s="65"/>
      <c r="T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5"/>
      <c r="AF519" s="5"/>
      <c r="AG519" s="5"/>
    </row>
    <row r="520" spans="1:36" ht="13.5" customHeight="1" x14ac:dyDescent="0.45">
      <c r="R520" s="65"/>
      <c r="S520" s="65"/>
      <c r="T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5"/>
      <c r="AF520" s="5"/>
      <c r="AG520" s="5"/>
    </row>
    <row r="521" spans="1:36" ht="15.75" hidden="1" customHeight="1" x14ac:dyDescent="0.45">
      <c r="R521" s="65"/>
      <c r="S521" s="65"/>
      <c r="T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5"/>
      <c r="AF521" s="5"/>
      <c r="AG521" s="5"/>
    </row>
  </sheetData>
  <autoFilter ref="A15:AO496">
    <filterColumn colId="2">
      <filters>
        <filter val="ул. Полярные Зори, д. 13"/>
        <filter val="ул. Полярные Зори, д. 17 корп. 2"/>
        <filter val="ул. Полярные Зори, д. 17 корп. 3, п. 1, 2"/>
        <filter val="ул. Полярные Зори, д. 17 корп. 4, п. 1, 2"/>
        <filter val="ул. Полярные Зори, д. 28/13"/>
        <filter val="ул. Полярные Зори, д. 3"/>
        <filter val="ул. Полярные Зори, д. 30"/>
        <filter val="ул. Полярные Зори, д. 41, корп. 2"/>
        <filter val="ул. Полярные Зори, д. 49 корп. 4, п. 1"/>
        <filter val="ул. Полярные Зори, д. 49 корп. 5, п. 1, 2"/>
      </filters>
    </filterColumn>
  </autoFilter>
  <mergeCells count="37">
    <mergeCell ref="AA1:AH1"/>
    <mergeCell ref="AA2:AH2"/>
    <mergeCell ref="AA3:AH3"/>
    <mergeCell ref="AA4:AH4"/>
    <mergeCell ref="AA6:AG6"/>
    <mergeCell ref="AA7:AG7"/>
    <mergeCell ref="AA8:AG8"/>
    <mergeCell ref="AA9:AG9"/>
    <mergeCell ref="A11:AG11"/>
    <mergeCell ref="H13:I13"/>
    <mergeCell ref="N13:Z13"/>
    <mergeCell ref="AA13:AE13"/>
    <mergeCell ref="A506:AG506"/>
    <mergeCell ref="A511:AH511"/>
    <mergeCell ref="A512:AH512"/>
    <mergeCell ref="A515:AG515"/>
    <mergeCell ref="A16:AG16"/>
    <mergeCell ref="A165:M165"/>
    <mergeCell ref="A166:AG166"/>
    <mergeCell ref="A268:M268"/>
    <mergeCell ref="A269:AG269"/>
    <mergeCell ref="AI515:AJ515"/>
    <mergeCell ref="A516:AH516"/>
    <mergeCell ref="A13:A14"/>
    <mergeCell ref="B13:B14"/>
    <mergeCell ref="C13:C14"/>
    <mergeCell ref="D13:D14"/>
    <mergeCell ref="E13:E14"/>
    <mergeCell ref="F13:F14"/>
    <mergeCell ref="G13:G14"/>
    <mergeCell ref="J13:J14"/>
    <mergeCell ref="K13:K14"/>
    <mergeCell ref="L13:L14"/>
    <mergeCell ref="M13:M14"/>
    <mergeCell ref="AF13:AF14"/>
    <mergeCell ref="AG13:AG14"/>
    <mergeCell ref="A496:M496"/>
  </mergeCells>
  <pageMargins left="0.78740157480314998" right="0.70866141732283505" top="1.1811023622047201" bottom="0.35433070866141703" header="0" footer="0"/>
  <pageSetup paperSize="9" scale="22" fitToHeight="0" orientation="landscape"/>
  <headerFooter differentFirst="1" scaleWithDoc="0" alignWithMargins="0">
    <oddHeader>&amp;C&amp;P</oddHeader>
    <evenHeader>&amp;C&amp;38
&amp;K00+000 4&amp;K000000</evenHeader>
    <firstHeader>&amp;C&amp;50 
&amp;40 &amp;10</firstHeader>
  </headerFooter>
  <colBreaks count="1" manualBreakCount="1">
    <brk id="33" max="521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topLeftCell="A2" zoomScaleSheetLayoutView="90" zoomScalePageLayoutView="80" workbookViewId="0">
      <selection activeCell="B15" sqref="B15:B17"/>
    </sheetView>
  </sheetViews>
  <sheetFormatPr defaultColWidth="9" defaultRowHeight="13.2" x14ac:dyDescent="0.25"/>
  <cols>
    <col min="2" max="2" width="32" customWidth="1"/>
    <col min="3" max="3" width="18.6640625" customWidth="1"/>
    <col min="4" max="4" width="47.33203125" customWidth="1"/>
    <col min="5" max="5" width="34.33203125" customWidth="1"/>
  </cols>
  <sheetData>
    <row r="1" spans="1:15" ht="20.100000000000001" customHeight="1" x14ac:dyDescent="0.25">
      <c r="A1" s="81"/>
      <c r="B1" s="81"/>
      <c r="C1" s="81"/>
      <c r="D1" s="377" t="s">
        <v>150</v>
      </c>
      <c r="E1" s="377"/>
      <c r="K1" s="378"/>
      <c r="L1" s="378"/>
      <c r="M1" s="378"/>
      <c r="N1" s="378"/>
      <c r="O1" s="378"/>
    </row>
    <row r="2" spans="1:15" ht="20.100000000000001" customHeight="1" x14ac:dyDescent="0.25">
      <c r="A2" s="81"/>
      <c r="B2" s="81"/>
      <c r="C2" s="81"/>
      <c r="D2" s="377" t="s">
        <v>855</v>
      </c>
      <c r="E2" s="377"/>
      <c r="K2" s="378"/>
      <c r="L2" s="378"/>
      <c r="M2" s="378"/>
      <c r="N2" s="378"/>
      <c r="O2" s="378"/>
    </row>
    <row r="3" spans="1:15" ht="20.100000000000001" customHeight="1" x14ac:dyDescent="0.25">
      <c r="A3" s="81"/>
      <c r="B3" s="81"/>
      <c r="C3" s="81"/>
      <c r="D3" s="377" t="s">
        <v>567</v>
      </c>
      <c r="E3" s="377"/>
      <c r="K3" s="378"/>
      <c r="L3" s="378"/>
      <c r="M3" s="378"/>
      <c r="N3" s="378"/>
      <c r="O3" s="378"/>
    </row>
    <row r="4" spans="1:15" ht="20.100000000000001" customHeight="1" x14ac:dyDescent="0.25">
      <c r="A4" s="81"/>
      <c r="B4" s="81"/>
      <c r="C4" s="81"/>
      <c r="D4" s="377" t="s">
        <v>376</v>
      </c>
      <c r="E4" s="377"/>
      <c r="K4" s="378"/>
      <c r="L4" s="378"/>
      <c r="M4" s="378"/>
      <c r="N4" s="378"/>
      <c r="O4" s="378"/>
    </row>
    <row r="5" spans="1:15" ht="11.25" customHeight="1" x14ac:dyDescent="0.25">
      <c r="A5" s="81"/>
      <c r="B5" s="81"/>
      <c r="C5" s="81"/>
      <c r="D5" s="81"/>
      <c r="E5" s="81"/>
    </row>
    <row r="6" spans="1:15" ht="20.100000000000001" customHeight="1" x14ac:dyDescent="0.25">
      <c r="A6" s="377" t="s">
        <v>4</v>
      </c>
      <c r="B6" s="377"/>
      <c r="C6" s="377"/>
      <c r="D6" s="377"/>
      <c r="E6" s="377"/>
      <c r="F6" s="82"/>
      <c r="G6" s="82"/>
      <c r="H6" s="82"/>
      <c r="I6" s="82"/>
      <c r="J6" s="82"/>
    </row>
    <row r="7" spans="1:15" ht="20.100000000000001" customHeight="1" x14ac:dyDescent="0.25">
      <c r="A7" s="377" t="s">
        <v>5</v>
      </c>
      <c r="B7" s="377"/>
      <c r="C7" s="377"/>
      <c r="D7" s="377"/>
      <c r="E7" s="377"/>
      <c r="F7" s="82"/>
      <c r="G7" s="82"/>
      <c r="H7" s="82"/>
      <c r="I7" s="82"/>
      <c r="J7" s="82"/>
    </row>
    <row r="8" spans="1:15" ht="20.100000000000001" customHeight="1" x14ac:dyDescent="0.25">
      <c r="A8" s="377" t="s">
        <v>856</v>
      </c>
      <c r="B8" s="377"/>
      <c r="C8" s="377"/>
      <c r="D8" s="377"/>
      <c r="E8" s="377"/>
      <c r="F8" s="82"/>
      <c r="G8" s="82"/>
      <c r="H8" s="82"/>
      <c r="I8" s="82"/>
      <c r="J8" s="82"/>
    </row>
    <row r="9" spans="1:15" ht="20.100000000000001" customHeight="1" x14ac:dyDescent="0.25">
      <c r="A9" s="377" t="s">
        <v>7</v>
      </c>
      <c r="B9" s="377"/>
      <c r="C9" s="377"/>
      <c r="D9" s="377"/>
      <c r="E9" s="377"/>
      <c r="F9" s="83"/>
      <c r="G9" s="83"/>
      <c r="H9" s="83"/>
      <c r="I9" s="83"/>
      <c r="J9" s="83"/>
    </row>
    <row r="10" spans="1:15" ht="20.100000000000001" customHeight="1" x14ac:dyDescent="0.25">
      <c r="A10" s="377" t="s">
        <v>8</v>
      </c>
      <c r="B10" s="377"/>
      <c r="C10" s="377"/>
      <c r="D10" s="377"/>
      <c r="E10" s="377"/>
      <c r="F10" s="83"/>
      <c r="G10" s="83"/>
      <c r="H10" s="83"/>
      <c r="I10" s="83"/>
      <c r="J10" s="83"/>
    </row>
    <row r="11" spans="1:15" ht="17.399999999999999" customHeight="1" x14ac:dyDescent="0.25"/>
    <row r="12" spans="1:15" ht="159.75" customHeight="1" x14ac:dyDescent="0.25">
      <c r="A12" s="374" t="s">
        <v>9</v>
      </c>
      <c r="B12" s="374" t="s">
        <v>10</v>
      </c>
      <c r="C12" s="374" t="s">
        <v>11</v>
      </c>
      <c r="D12" s="374" t="s">
        <v>12</v>
      </c>
      <c r="E12" s="374" t="s">
        <v>13</v>
      </c>
      <c r="F12" s="85"/>
    </row>
    <row r="13" spans="1:15" ht="13.8" hidden="1" x14ac:dyDescent="0.25">
      <c r="A13" s="374"/>
      <c r="B13" s="374"/>
      <c r="C13" s="374"/>
      <c r="D13" s="374"/>
      <c r="E13" s="374"/>
      <c r="F13" s="85"/>
    </row>
    <row r="14" spans="1:15" ht="16.2" x14ac:dyDescent="0.2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5"/>
    </row>
    <row r="15" spans="1:15" ht="16.2" x14ac:dyDescent="0.25">
      <c r="A15" s="373">
        <v>1</v>
      </c>
      <c r="B15" s="337" t="s">
        <v>23</v>
      </c>
      <c r="C15" s="373">
        <v>2</v>
      </c>
      <c r="D15" s="87" t="s">
        <v>24</v>
      </c>
      <c r="E15" s="86">
        <v>8274424.8600000003</v>
      </c>
      <c r="F15" s="85"/>
    </row>
    <row r="16" spans="1:15" ht="16.2" x14ac:dyDescent="0.25">
      <c r="A16" s="373"/>
      <c r="B16" s="337"/>
      <c r="C16" s="373"/>
      <c r="D16" s="87" t="s">
        <v>17</v>
      </c>
      <c r="E16" s="86">
        <v>466942.1</v>
      </c>
      <c r="F16" s="85"/>
    </row>
    <row r="17" spans="1:6" ht="16.2" x14ac:dyDescent="0.25">
      <c r="A17" s="373"/>
      <c r="B17" s="337"/>
      <c r="C17" s="373"/>
      <c r="D17" s="87" t="s">
        <v>18</v>
      </c>
      <c r="E17" s="86" t="s">
        <v>25</v>
      </c>
      <c r="F17" s="85"/>
    </row>
    <row r="18" spans="1:6" ht="16.2" x14ac:dyDescent="0.25">
      <c r="A18" s="373">
        <v>2</v>
      </c>
      <c r="B18" s="337" t="s">
        <v>23</v>
      </c>
      <c r="C18" s="373">
        <v>28</v>
      </c>
      <c r="D18" s="87" t="s">
        <v>26</v>
      </c>
      <c r="E18" s="86">
        <v>465992.84</v>
      </c>
      <c r="F18" s="85"/>
    </row>
    <row r="19" spans="1:6" ht="16.2" x14ac:dyDescent="0.25">
      <c r="A19" s="373"/>
      <c r="B19" s="337"/>
      <c r="C19" s="373"/>
      <c r="D19" s="87" t="s">
        <v>27</v>
      </c>
      <c r="E19" s="86">
        <v>2218277.17</v>
      </c>
      <c r="F19" s="85"/>
    </row>
    <row r="20" spans="1:6" ht="16.2" x14ac:dyDescent="0.25">
      <c r="A20" s="86">
        <v>1</v>
      </c>
      <c r="B20" s="86">
        <v>2</v>
      </c>
      <c r="C20" s="86">
        <v>3</v>
      </c>
      <c r="D20" s="86">
        <v>4</v>
      </c>
      <c r="E20" s="86">
        <v>5</v>
      </c>
      <c r="F20" s="85"/>
    </row>
    <row r="21" spans="1:6" ht="16.2" x14ac:dyDescent="0.25">
      <c r="A21" s="337"/>
      <c r="B21" s="337"/>
      <c r="C21" s="337"/>
      <c r="D21" s="88" t="s">
        <v>28</v>
      </c>
      <c r="E21" s="84">
        <v>452638.79</v>
      </c>
      <c r="F21" s="85"/>
    </row>
    <row r="22" spans="1:6" ht="16.2" x14ac:dyDescent="0.25">
      <c r="A22" s="337"/>
      <c r="B22" s="337"/>
      <c r="C22" s="337"/>
      <c r="D22" s="88" t="s">
        <v>29</v>
      </c>
      <c r="E22" s="84">
        <v>498576.42</v>
      </c>
      <c r="F22" s="85"/>
    </row>
    <row r="23" spans="1:6" ht="16.2" x14ac:dyDescent="0.25">
      <c r="A23" s="337"/>
      <c r="B23" s="337"/>
      <c r="C23" s="337"/>
      <c r="D23" s="88" t="s">
        <v>30</v>
      </c>
      <c r="E23" s="84">
        <v>768107.44</v>
      </c>
      <c r="F23" s="85"/>
    </row>
    <row r="24" spans="1:6" ht="16.2" x14ac:dyDescent="0.25">
      <c r="A24" s="337"/>
      <c r="B24" s="337"/>
      <c r="C24" s="337"/>
      <c r="D24" s="88" t="s">
        <v>24</v>
      </c>
      <c r="E24" s="84">
        <v>6537367.29</v>
      </c>
      <c r="F24" s="85"/>
    </row>
    <row r="25" spans="1:6" ht="16.2" x14ac:dyDescent="0.25">
      <c r="A25" s="337"/>
      <c r="B25" s="337"/>
      <c r="C25" s="337"/>
      <c r="D25" s="88" t="s">
        <v>31</v>
      </c>
      <c r="E25" s="84">
        <v>4900694.5599999996</v>
      </c>
      <c r="F25" s="85"/>
    </row>
    <row r="26" spans="1:6" ht="16.2" x14ac:dyDescent="0.25">
      <c r="A26" s="337"/>
      <c r="B26" s="337"/>
      <c r="C26" s="337"/>
      <c r="D26" s="88" t="s">
        <v>32</v>
      </c>
      <c r="E26" s="84">
        <v>399817.36</v>
      </c>
      <c r="F26" s="85"/>
    </row>
    <row r="27" spans="1:6" ht="16.2" x14ac:dyDescent="0.25">
      <c r="A27" s="337"/>
      <c r="B27" s="337"/>
      <c r="C27" s="337"/>
      <c r="D27" s="88" t="s">
        <v>18</v>
      </c>
      <c r="E27" s="84">
        <v>16241471.869999999</v>
      </c>
      <c r="F27" s="85"/>
    </row>
    <row r="28" spans="1:6" ht="16.2" x14ac:dyDescent="0.25">
      <c r="A28" s="373">
        <v>3</v>
      </c>
      <c r="B28" s="337" t="s">
        <v>23</v>
      </c>
      <c r="C28" s="373">
        <v>59</v>
      </c>
      <c r="D28" s="88" t="s">
        <v>33</v>
      </c>
      <c r="E28" s="84">
        <v>1323903.43</v>
      </c>
      <c r="F28" s="85"/>
    </row>
    <row r="29" spans="1:6" ht="16.2" x14ac:dyDescent="0.25">
      <c r="A29" s="373"/>
      <c r="B29" s="337"/>
      <c r="C29" s="373"/>
      <c r="D29" s="88" t="s">
        <v>18</v>
      </c>
      <c r="E29" s="84">
        <v>1323903.43</v>
      </c>
      <c r="F29" s="85"/>
    </row>
    <row r="30" spans="1:6" ht="16.2" x14ac:dyDescent="0.25">
      <c r="A30" s="373">
        <v>4</v>
      </c>
      <c r="B30" s="337" t="s">
        <v>41</v>
      </c>
      <c r="C30" s="373" t="s">
        <v>43</v>
      </c>
      <c r="D30" s="88" t="s">
        <v>24</v>
      </c>
      <c r="E30" s="84">
        <v>15638645.640000001</v>
      </c>
      <c r="F30" s="85"/>
    </row>
    <row r="31" spans="1:6" ht="16.2" x14ac:dyDescent="0.25">
      <c r="A31" s="373"/>
      <c r="B31" s="337"/>
      <c r="C31" s="373"/>
      <c r="D31" s="88" t="s">
        <v>32</v>
      </c>
      <c r="E31" s="84">
        <v>742257.6</v>
      </c>
      <c r="F31" s="85"/>
    </row>
    <row r="32" spans="1:6" ht="16.2" x14ac:dyDescent="0.25">
      <c r="A32" s="373"/>
      <c r="B32" s="337"/>
      <c r="C32" s="373"/>
      <c r="D32" s="88" t="s">
        <v>18</v>
      </c>
      <c r="E32" s="84">
        <v>16380903.24</v>
      </c>
      <c r="F32" s="85"/>
    </row>
    <row r="33" spans="1:6" ht="16.2" x14ac:dyDescent="0.25">
      <c r="A33" s="373">
        <v>5</v>
      </c>
      <c r="B33" s="337" t="s">
        <v>44</v>
      </c>
      <c r="C33" s="373">
        <v>19</v>
      </c>
      <c r="D33" s="88" t="s">
        <v>24</v>
      </c>
      <c r="E33" s="84">
        <v>10377091.949999999</v>
      </c>
      <c r="F33" s="85"/>
    </row>
    <row r="34" spans="1:6" ht="16.2" x14ac:dyDescent="0.25">
      <c r="A34" s="373"/>
      <c r="B34" s="337"/>
      <c r="C34" s="373"/>
      <c r="D34" s="88" t="s">
        <v>32</v>
      </c>
      <c r="E34" s="84">
        <v>685877.2</v>
      </c>
      <c r="F34" s="85"/>
    </row>
    <row r="35" spans="1:6" ht="16.2" x14ac:dyDescent="0.25">
      <c r="A35" s="373"/>
      <c r="B35" s="337"/>
      <c r="C35" s="373"/>
      <c r="D35" s="88" t="s">
        <v>18</v>
      </c>
      <c r="E35" s="84">
        <v>11062969.15</v>
      </c>
      <c r="F35" s="85"/>
    </row>
    <row r="36" spans="1:6" ht="16.2" x14ac:dyDescent="0.25">
      <c r="A36" s="373">
        <v>6</v>
      </c>
      <c r="B36" s="337" t="s">
        <v>44</v>
      </c>
      <c r="C36" s="373">
        <v>29</v>
      </c>
      <c r="D36" s="88" t="s">
        <v>24</v>
      </c>
      <c r="E36" s="84">
        <v>17203759.719999999</v>
      </c>
      <c r="F36" s="85"/>
    </row>
    <row r="37" spans="1:6" ht="16.2" x14ac:dyDescent="0.25">
      <c r="A37" s="373"/>
      <c r="B37" s="337"/>
      <c r="C37" s="373"/>
      <c r="D37" s="88" t="s">
        <v>32</v>
      </c>
      <c r="E37" s="84">
        <v>760248.6</v>
      </c>
      <c r="F37" s="85"/>
    </row>
    <row r="38" spans="1:6" ht="16.2" x14ac:dyDescent="0.25">
      <c r="A38" s="86">
        <v>1</v>
      </c>
      <c r="B38" s="86">
        <v>2</v>
      </c>
      <c r="C38" s="86">
        <v>3</v>
      </c>
      <c r="D38" s="84">
        <v>4</v>
      </c>
      <c r="E38" s="84">
        <v>5</v>
      </c>
      <c r="F38" s="85"/>
    </row>
    <row r="39" spans="1:6" ht="16.2" x14ac:dyDescent="0.25">
      <c r="A39" s="87"/>
      <c r="B39" s="87"/>
      <c r="C39" s="87"/>
      <c r="D39" s="88" t="s">
        <v>18</v>
      </c>
      <c r="E39" s="84">
        <v>17964008.32</v>
      </c>
      <c r="F39" s="85"/>
    </row>
    <row r="40" spans="1:6" ht="16.2" x14ac:dyDescent="0.25">
      <c r="A40" s="373">
        <v>7</v>
      </c>
      <c r="B40" s="337" t="s">
        <v>56</v>
      </c>
      <c r="C40" s="373">
        <v>10</v>
      </c>
      <c r="D40" s="88" t="s">
        <v>27</v>
      </c>
      <c r="E40" s="84">
        <v>16221481.800000001</v>
      </c>
      <c r="F40" s="85"/>
    </row>
    <row r="41" spans="1:6" ht="16.2" x14ac:dyDescent="0.25">
      <c r="A41" s="373"/>
      <c r="B41" s="337"/>
      <c r="C41" s="373"/>
      <c r="D41" s="88" t="s">
        <v>28</v>
      </c>
      <c r="E41" s="84">
        <v>3145419.05</v>
      </c>
      <c r="F41" s="85"/>
    </row>
    <row r="42" spans="1:6" ht="16.2" x14ac:dyDescent="0.25">
      <c r="A42" s="373"/>
      <c r="B42" s="337"/>
      <c r="C42" s="373"/>
      <c r="D42" s="88" t="s">
        <v>29</v>
      </c>
      <c r="E42" s="84">
        <v>3344936.8</v>
      </c>
      <c r="F42" s="85"/>
    </row>
    <row r="43" spans="1:6" ht="16.2" x14ac:dyDescent="0.25">
      <c r="A43" s="373"/>
      <c r="B43" s="337"/>
      <c r="C43" s="373"/>
      <c r="D43" s="88" t="s">
        <v>30</v>
      </c>
      <c r="E43" s="84">
        <v>3372346.42</v>
      </c>
      <c r="F43" s="85"/>
    </row>
    <row r="44" spans="1:6" ht="16.2" x14ac:dyDescent="0.25">
      <c r="A44" s="373"/>
      <c r="B44" s="337"/>
      <c r="C44" s="373"/>
      <c r="D44" s="88" t="s">
        <v>24</v>
      </c>
      <c r="E44" s="84">
        <v>18884217.879999999</v>
      </c>
      <c r="F44" s="85"/>
    </row>
    <row r="45" spans="1:6" ht="16.2" x14ac:dyDescent="0.25">
      <c r="A45" s="373"/>
      <c r="B45" s="337"/>
      <c r="C45" s="373"/>
      <c r="D45" s="88" t="s">
        <v>31</v>
      </c>
      <c r="E45" s="84">
        <v>17406327.41</v>
      </c>
      <c r="F45" s="85"/>
    </row>
    <row r="46" spans="1:6" ht="16.2" x14ac:dyDescent="0.25">
      <c r="A46" s="373"/>
      <c r="B46" s="337"/>
      <c r="C46" s="373"/>
      <c r="D46" s="88" t="s">
        <v>32</v>
      </c>
      <c r="E46" s="84">
        <v>1112855.68</v>
      </c>
      <c r="F46" s="85"/>
    </row>
    <row r="47" spans="1:6" ht="16.2" x14ac:dyDescent="0.25">
      <c r="A47" s="373"/>
      <c r="B47" s="337"/>
      <c r="C47" s="373"/>
      <c r="D47" s="88" t="s">
        <v>18</v>
      </c>
      <c r="E47" s="84">
        <v>63487585.039999999</v>
      </c>
      <c r="F47" s="85"/>
    </row>
    <row r="48" spans="1:6" ht="16.2" x14ac:dyDescent="0.25">
      <c r="A48" s="373">
        <v>8</v>
      </c>
      <c r="B48" s="337" t="s">
        <v>58</v>
      </c>
      <c r="C48" s="373">
        <v>73</v>
      </c>
      <c r="D48" s="88" t="s">
        <v>59</v>
      </c>
      <c r="E48" s="84">
        <v>1215410.51</v>
      </c>
      <c r="F48" s="85"/>
    </row>
    <row r="49" spans="1:6" ht="16.2" x14ac:dyDescent="0.25">
      <c r="A49" s="373"/>
      <c r="B49" s="337"/>
      <c r="C49" s="373"/>
      <c r="D49" s="88" t="s">
        <v>32</v>
      </c>
      <c r="E49" s="84">
        <v>224000</v>
      </c>
      <c r="F49" s="85"/>
    </row>
    <row r="50" spans="1:6" ht="16.2" x14ac:dyDescent="0.25">
      <c r="A50" s="373"/>
      <c r="B50" s="337"/>
      <c r="C50" s="373"/>
      <c r="D50" s="88" t="s">
        <v>18</v>
      </c>
      <c r="E50" s="84">
        <v>1439410.51</v>
      </c>
      <c r="F50" s="85"/>
    </row>
    <row r="51" spans="1:6" ht="16.2" x14ac:dyDescent="0.25">
      <c r="A51" s="373">
        <v>9</v>
      </c>
      <c r="B51" s="337" t="s">
        <v>60</v>
      </c>
      <c r="C51" s="373" t="s">
        <v>71</v>
      </c>
      <c r="D51" s="88" t="s">
        <v>24</v>
      </c>
      <c r="E51" s="84">
        <v>20897700.289999999</v>
      </c>
      <c r="F51" s="85"/>
    </row>
    <row r="52" spans="1:6" ht="16.2" x14ac:dyDescent="0.25">
      <c r="A52" s="373"/>
      <c r="B52" s="337"/>
      <c r="C52" s="373"/>
      <c r="D52" s="88" t="s">
        <v>32</v>
      </c>
      <c r="E52" s="84">
        <v>741812.5</v>
      </c>
      <c r="F52" s="85"/>
    </row>
    <row r="53" spans="1:6" ht="16.2" x14ac:dyDescent="0.25">
      <c r="A53" s="373"/>
      <c r="B53" s="337"/>
      <c r="C53" s="373"/>
      <c r="D53" s="88" t="s">
        <v>18</v>
      </c>
      <c r="E53" s="84">
        <v>21639512.789999999</v>
      </c>
      <c r="F53" s="85"/>
    </row>
    <row r="54" spans="1:6" ht="16.2" x14ac:dyDescent="0.25">
      <c r="A54" s="373">
        <v>10</v>
      </c>
      <c r="B54" s="337" t="s">
        <v>60</v>
      </c>
      <c r="C54" s="373" t="s">
        <v>72</v>
      </c>
      <c r="D54" s="88" t="s">
        <v>24</v>
      </c>
      <c r="E54" s="84">
        <v>9632734.5399999991</v>
      </c>
      <c r="F54" s="85"/>
    </row>
    <row r="55" spans="1:6" ht="16.2" x14ac:dyDescent="0.25">
      <c r="A55" s="373"/>
      <c r="B55" s="337"/>
      <c r="C55" s="373"/>
      <c r="D55" s="88" t="s">
        <v>32</v>
      </c>
      <c r="E55" s="84">
        <v>670285.1</v>
      </c>
      <c r="F55" s="85"/>
    </row>
    <row r="56" spans="1:6" ht="16.2" x14ac:dyDescent="0.25">
      <c r="A56" s="86">
        <v>1</v>
      </c>
      <c r="B56" s="86">
        <v>2</v>
      </c>
      <c r="C56" s="86">
        <v>3</v>
      </c>
      <c r="D56" s="84">
        <v>4</v>
      </c>
      <c r="E56" s="84">
        <v>5</v>
      </c>
      <c r="F56" s="85"/>
    </row>
    <row r="57" spans="1:6" ht="16.2" x14ac:dyDescent="0.25">
      <c r="A57" s="87"/>
      <c r="B57" s="87"/>
      <c r="C57" s="87"/>
      <c r="D57" s="88" t="s">
        <v>18</v>
      </c>
      <c r="E57" s="84">
        <v>10303019.640000001</v>
      </c>
      <c r="F57" s="85"/>
    </row>
    <row r="58" spans="1:6" ht="16.2" x14ac:dyDescent="0.25">
      <c r="A58" s="373">
        <v>11</v>
      </c>
      <c r="B58" s="337" t="s">
        <v>75</v>
      </c>
      <c r="C58" s="373">
        <v>23</v>
      </c>
      <c r="D58" s="88" t="s">
        <v>27</v>
      </c>
      <c r="E58" s="84">
        <v>19917322.890000001</v>
      </c>
      <c r="F58" s="85"/>
    </row>
    <row r="59" spans="1:6" ht="16.2" x14ac:dyDescent="0.25">
      <c r="A59" s="373"/>
      <c r="B59" s="337"/>
      <c r="C59" s="373"/>
      <c r="D59" s="88" t="s">
        <v>28</v>
      </c>
      <c r="E59" s="84">
        <v>3866136.66</v>
      </c>
      <c r="F59" s="85"/>
    </row>
    <row r="60" spans="1:6" ht="16.2" x14ac:dyDescent="0.25">
      <c r="A60" s="373"/>
      <c r="B60" s="337"/>
      <c r="C60" s="373"/>
      <c r="D60" s="88" t="s">
        <v>29</v>
      </c>
      <c r="E60" s="84">
        <v>3823919.55</v>
      </c>
      <c r="F60" s="85"/>
    </row>
    <row r="61" spans="1:6" ht="16.2" x14ac:dyDescent="0.25">
      <c r="A61" s="373"/>
      <c r="B61" s="337"/>
      <c r="C61" s="373"/>
      <c r="D61" s="88" t="s">
        <v>59</v>
      </c>
      <c r="E61" s="84">
        <v>1215410.51</v>
      </c>
      <c r="F61" s="85"/>
    </row>
    <row r="62" spans="1:6" ht="16.2" x14ac:dyDescent="0.25">
      <c r="A62" s="373"/>
      <c r="B62" s="337"/>
      <c r="C62" s="373"/>
      <c r="D62" s="88" t="s">
        <v>30</v>
      </c>
      <c r="E62" s="84">
        <v>3832541.35</v>
      </c>
      <c r="F62" s="85"/>
    </row>
    <row r="63" spans="1:6" ht="16.2" x14ac:dyDescent="0.25">
      <c r="A63" s="373"/>
      <c r="B63" s="337"/>
      <c r="C63" s="373"/>
      <c r="D63" s="88" t="s">
        <v>32</v>
      </c>
      <c r="E63" s="84">
        <v>1457558.06</v>
      </c>
      <c r="F63" s="85"/>
    </row>
    <row r="64" spans="1:6" ht="16.2" x14ac:dyDescent="0.25">
      <c r="A64" s="373"/>
      <c r="B64" s="337"/>
      <c r="C64" s="373"/>
      <c r="D64" s="88" t="s">
        <v>18</v>
      </c>
      <c r="E64" s="84">
        <v>34112889.020000003</v>
      </c>
      <c r="F64" s="85"/>
    </row>
    <row r="65" spans="1:6" ht="16.2" x14ac:dyDescent="0.25">
      <c r="A65" s="374">
        <v>12</v>
      </c>
      <c r="B65" s="376" t="s">
        <v>76</v>
      </c>
      <c r="C65" s="374">
        <v>4</v>
      </c>
      <c r="D65" s="88" t="s">
        <v>77</v>
      </c>
      <c r="E65" s="84">
        <v>1787495.94</v>
      </c>
      <c r="F65" s="85"/>
    </row>
    <row r="66" spans="1:6" ht="16.2" x14ac:dyDescent="0.25">
      <c r="A66" s="374"/>
      <c r="B66" s="376"/>
      <c r="C66" s="374"/>
      <c r="D66" s="88" t="s">
        <v>32</v>
      </c>
      <c r="E66" s="84">
        <v>486639.82</v>
      </c>
      <c r="F66" s="85"/>
    </row>
    <row r="67" spans="1:6" ht="16.2" x14ac:dyDescent="0.25">
      <c r="A67" s="374"/>
      <c r="B67" s="376"/>
      <c r="C67" s="374"/>
      <c r="D67" s="88" t="s">
        <v>18</v>
      </c>
      <c r="E67" s="84">
        <v>2274135.7599999998</v>
      </c>
      <c r="F67" s="85"/>
    </row>
    <row r="68" spans="1:6" ht="16.2" x14ac:dyDescent="0.25">
      <c r="A68" s="373">
        <v>13</v>
      </c>
      <c r="B68" s="337" t="s">
        <v>76</v>
      </c>
      <c r="C68" s="373" t="s">
        <v>78</v>
      </c>
      <c r="D68" s="88" t="s">
        <v>59</v>
      </c>
      <c r="E68" s="84">
        <v>1215410.51</v>
      </c>
      <c r="F68" s="85"/>
    </row>
    <row r="69" spans="1:6" ht="16.2" x14ac:dyDescent="0.25">
      <c r="A69" s="373"/>
      <c r="B69" s="337"/>
      <c r="C69" s="373"/>
      <c r="D69" s="88" t="s">
        <v>32</v>
      </c>
      <c r="E69" s="84">
        <v>224000</v>
      </c>
      <c r="F69" s="85"/>
    </row>
    <row r="70" spans="1:6" ht="16.2" x14ac:dyDescent="0.25">
      <c r="A70" s="373"/>
      <c r="B70" s="337"/>
      <c r="C70" s="373"/>
      <c r="D70" s="88" t="s">
        <v>18</v>
      </c>
      <c r="E70" s="84">
        <v>1439410.51</v>
      </c>
      <c r="F70" s="85"/>
    </row>
    <row r="71" spans="1:6" ht="16.2" x14ac:dyDescent="0.25">
      <c r="A71" s="373">
        <v>14</v>
      </c>
      <c r="B71" s="337" t="s">
        <v>90</v>
      </c>
      <c r="C71" s="373" t="s">
        <v>15</v>
      </c>
      <c r="D71" s="88" t="s">
        <v>26</v>
      </c>
      <c r="E71" s="84">
        <v>3044590.83</v>
      </c>
      <c r="F71" s="85"/>
    </row>
    <row r="72" spans="1:6" ht="16.2" x14ac:dyDescent="0.25">
      <c r="A72" s="373"/>
      <c r="B72" s="337"/>
      <c r="C72" s="373"/>
      <c r="D72" s="88" t="s">
        <v>32</v>
      </c>
      <c r="E72" s="84">
        <v>805361.2</v>
      </c>
      <c r="F72" s="85"/>
    </row>
    <row r="73" spans="1:6" ht="16.2" x14ac:dyDescent="0.25">
      <c r="A73" s="373"/>
      <c r="B73" s="337"/>
      <c r="C73" s="373"/>
      <c r="D73" s="88" t="s">
        <v>18</v>
      </c>
      <c r="E73" s="84">
        <v>3849952.03</v>
      </c>
      <c r="F73" s="85"/>
    </row>
    <row r="74" spans="1:6" ht="16.2" x14ac:dyDescent="0.25">
      <c r="A74" s="86">
        <v>1</v>
      </c>
      <c r="B74" s="86">
        <v>2</v>
      </c>
      <c r="C74" s="86">
        <v>3</v>
      </c>
      <c r="D74" s="84">
        <v>4</v>
      </c>
      <c r="E74" s="84">
        <v>5</v>
      </c>
      <c r="F74" s="85"/>
    </row>
    <row r="75" spans="1:6" ht="16.2" x14ac:dyDescent="0.25">
      <c r="A75" s="373">
        <v>15</v>
      </c>
      <c r="B75" s="337" t="s">
        <v>91</v>
      </c>
      <c r="C75" s="373">
        <v>3</v>
      </c>
      <c r="D75" s="88" t="s">
        <v>24</v>
      </c>
      <c r="E75" s="84">
        <v>11199405.039999999</v>
      </c>
      <c r="F75" s="85"/>
    </row>
    <row r="76" spans="1:6" ht="16.2" x14ac:dyDescent="0.25">
      <c r="A76" s="373"/>
      <c r="B76" s="337"/>
      <c r="C76" s="373"/>
      <c r="D76" s="88" t="s">
        <v>32</v>
      </c>
      <c r="E76" s="84">
        <v>559881.46</v>
      </c>
      <c r="F76" s="85"/>
    </row>
    <row r="77" spans="1:6" ht="16.2" x14ac:dyDescent="0.25">
      <c r="A77" s="373"/>
      <c r="B77" s="337"/>
      <c r="C77" s="373"/>
      <c r="D77" s="88" t="s">
        <v>18</v>
      </c>
      <c r="E77" s="84">
        <v>11759286.5</v>
      </c>
      <c r="F77" s="85"/>
    </row>
    <row r="78" spans="1:6" ht="16.2" x14ac:dyDescent="0.25">
      <c r="A78" s="373">
        <v>16</v>
      </c>
      <c r="B78" s="337" t="s">
        <v>93</v>
      </c>
      <c r="C78" s="373">
        <v>17</v>
      </c>
      <c r="D78" s="88" t="s">
        <v>59</v>
      </c>
      <c r="E78" s="84">
        <v>1215410.51</v>
      </c>
      <c r="F78" s="85"/>
    </row>
    <row r="79" spans="1:6" ht="16.2" x14ac:dyDescent="0.25">
      <c r="A79" s="373"/>
      <c r="B79" s="337"/>
      <c r="C79" s="373"/>
      <c r="D79" s="88" t="s">
        <v>32</v>
      </c>
      <c r="E79" s="84">
        <v>224000</v>
      </c>
      <c r="F79" s="85"/>
    </row>
    <row r="80" spans="1:6" ht="16.2" x14ac:dyDescent="0.25">
      <c r="A80" s="373"/>
      <c r="B80" s="337"/>
      <c r="C80" s="373"/>
      <c r="D80" s="88" t="s">
        <v>18</v>
      </c>
      <c r="E80" s="84">
        <v>1439410.51</v>
      </c>
      <c r="F80" s="85"/>
    </row>
    <row r="81" spans="1:6" ht="16.2" x14ac:dyDescent="0.25">
      <c r="A81" s="373">
        <v>17</v>
      </c>
      <c r="B81" s="337" t="s">
        <v>94</v>
      </c>
      <c r="C81" s="373">
        <v>29</v>
      </c>
      <c r="D81" s="88" t="s">
        <v>26</v>
      </c>
      <c r="E81" s="84">
        <v>1473663.28</v>
      </c>
      <c r="F81" s="85"/>
    </row>
    <row r="82" spans="1:6" ht="16.2" x14ac:dyDescent="0.25">
      <c r="A82" s="373"/>
      <c r="B82" s="337"/>
      <c r="C82" s="373"/>
      <c r="D82" s="88" t="s">
        <v>27</v>
      </c>
      <c r="E82" s="84">
        <v>2084052.81</v>
      </c>
      <c r="F82" s="85"/>
    </row>
    <row r="83" spans="1:6" ht="16.2" x14ac:dyDescent="0.25">
      <c r="A83" s="373"/>
      <c r="B83" s="337"/>
      <c r="C83" s="373"/>
      <c r="D83" s="88" t="s">
        <v>28</v>
      </c>
      <c r="E83" s="84">
        <v>1426147.35</v>
      </c>
      <c r="F83" s="85"/>
    </row>
    <row r="84" spans="1:6" ht="16.2" x14ac:dyDescent="0.25">
      <c r="A84" s="373"/>
      <c r="B84" s="337"/>
      <c r="C84" s="373"/>
      <c r="D84" s="88" t="s">
        <v>29</v>
      </c>
      <c r="E84" s="84">
        <v>1410603.64</v>
      </c>
      <c r="F84" s="85"/>
    </row>
    <row r="85" spans="1:6" ht="16.2" x14ac:dyDescent="0.25">
      <c r="A85" s="373"/>
      <c r="B85" s="337"/>
      <c r="C85" s="373"/>
      <c r="D85" s="88" t="s">
        <v>30</v>
      </c>
      <c r="E85" s="84">
        <v>2570092.67</v>
      </c>
      <c r="F85" s="85"/>
    </row>
    <row r="86" spans="1:6" ht="16.2" x14ac:dyDescent="0.25">
      <c r="A86" s="373"/>
      <c r="B86" s="337"/>
      <c r="C86" s="373"/>
      <c r="D86" s="88" t="s">
        <v>32</v>
      </c>
      <c r="E86" s="84">
        <v>557819.36</v>
      </c>
      <c r="F86" s="85"/>
    </row>
    <row r="87" spans="1:6" ht="16.2" x14ac:dyDescent="0.25">
      <c r="A87" s="373"/>
      <c r="B87" s="337"/>
      <c r="C87" s="373"/>
      <c r="D87" s="88" t="s">
        <v>18</v>
      </c>
      <c r="E87" s="84">
        <v>9522379.1099999994</v>
      </c>
      <c r="F87" s="85"/>
    </row>
    <row r="88" spans="1:6" ht="16.2" x14ac:dyDescent="0.25">
      <c r="A88" s="373">
        <v>18</v>
      </c>
      <c r="B88" s="337" t="s">
        <v>99</v>
      </c>
      <c r="C88" s="373">
        <v>9</v>
      </c>
      <c r="D88" s="88" t="s">
        <v>24</v>
      </c>
      <c r="E88" s="84">
        <v>8644232.1899999995</v>
      </c>
      <c r="F88" s="85"/>
    </row>
    <row r="89" spans="1:6" ht="16.2" x14ac:dyDescent="0.25">
      <c r="A89" s="373"/>
      <c r="B89" s="337"/>
      <c r="C89" s="373"/>
      <c r="D89" s="88" t="s">
        <v>32</v>
      </c>
      <c r="E89" s="84">
        <v>506206.99</v>
      </c>
      <c r="F89" s="85"/>
    </row>
    <row r="90" spans="1:6" ht="16.2" x14ac:dyDescent="0.25">
      <c r="A90" s="373"/>
      <c r="B90" s="337"/>
      <c r="C90" s="373"/>
      <c r="D90" s="88" t="s">
        <v>18</v>
      </c>
      <c r="E90" s="84">
        <v>9150439.1799999997</v>
      </c>
      <c r="F90" s="85"/>
    </row>
    <row r="91" spans="1:6" ht="16.2" x14ac:dyDescent="0.25">
      <c r="A91" s="86">
        <v>19</v>
      </c>
      <c r="B91" s="87" t="s">
        <v>99</v>
      </c>
      <c r="C91" s="86">
        <v>22</v>
      </c>
      <c r="D91" s="88" t="s">
        <v>26</v>
      </c>
      <c r="E91" s="84">
        <v>581959.39</v>
      </c>
      <c r="F91" s="85"/>
    </row>
    <row r="92" spans="1:6" ht="16.2" x14ac:dyDescent="0.25">
      <c r="A92" s="86">
        <v>1</v>
      </c>
      <c r="B92" s="86">
        <v>2</v>
      </c>
      <c r="C92" s="86">
        <v>3</v>
      </c>
      <c r="D92" s="84">
        <v>4</v>
      </c>
      <c r="E92" s="84">
        <v>5</v>
      </c>
      <c r="F92" s="85"/>
    </row>
    <row r="93" spans="1:6" ht="16.2" x14ac:dyDescent="0.25">
      <c r="A93" s="337"/>
      <c r="B93" s="337"/>
      <c r="C93" s="337"/>
      <c r="D93" s="88" t="s">
        <v>27</v>
      </c>
      <c r="E93" s="84">
        <v>2770315.54</v>
      </c>
      <c r="F93" s="85"/>
    </row>
    <row r="94" spans="1:6" ht="16.2" x14ac:dyDescent="0.25">
      <c r="A94" s="337"/>
      <c r="B94" s="337"/>
      <c r="C94" s="337"/>
      <c r="D94" s="88" t="s">
        <v>28</v>
      </c>
      <c r="E94" s="84">
        <v>565282.06000000006</v>
      </c>
      <c r="F94" s="85"/>
    </row>
    <row r="95" spans="1:6" ht="16.2" x14ac:dyDescent="0.25">
      <c r="A95" s="337"/>
      <c r="B95" s="337"/>
      <c r="C95" s="337"/>
      <c r="D95" s="88" t="s">
        <v>29</v>
      </c>
      <c r="E95" s="84">
        <v>622651.68999999994</v>
      </c>
      <c r="F95" s="85"/>
    </row>
    <row r="96" spans="1:6" ht="16.2" x14ac:dyDescent="0.25">
      <c r="A96" s="337"/>
      <c r="B96" s="337"/>
      <c r="C96" s="337"/>
      <c r="D96" s="88" t="s">
        <v>30</v>
      </c>
      <c r="E96" s="84">
        <v>959257.94</v>
      </c>
      <c r="F96" s="85"/>
    </row>
    <row r="97" spans="1:6" ht="16.2" x14ac:dyDescent="0.25">
      <c r="A97" s="337"/>
      <c r="B97" s="337"/>
      <c r="C97" s="337"/>
      <c r="D97" s="88" t="s">
        <v>24</v>
      </c>
      <c r="E97" s="84">
        <v>8164250.3700000001</v>
      </c>
      <c r="F97" s="85"/>
    </row>
    <row r="98" spans="1:6" ht="16.2" x14ac:dyDescent="0.25">
      <c r="A98" s="337"/>
      <c r="B98" s="337"/>
      <c r="C98" s="337"/>
      <c r="D98" s="88" t="s">
        <v>32</v>
      </c>
      <c r="E98" s="84">
        <v>1373652.8</v>
      </c>
      <c r="F98" s="85"/>
    </row>
    <row r="99" spans="1:6" ht="16.2" x14ac:dyDescent="0.25">
      <c r="A99" s="337"/>
      <c r="B99" s="337"/>
      <c r="C99" s="337"/>
      <c r="D99" s="88" t="s">
        <v>18</v>
      </c>
      <c r="E99" s="84">
        <v>15037369.789999999</v>
      </c>
      <c r="F99" s="85"/>
    </row>
    <row r="100" spans="1:6" ht="16.2" x14ac:dyDescent="0.25">
      <c r="A100" s="373">
        <v>20</v>
      </c>
      <c r="B100" s="337" t="s">
        <v>99</v>
      </c>
      <c r="C100" s="373">
        <v>26</v>
      </c>
      <c r="D100" s="88" t="s">
        <v>24</v>
      </c>
      <c r="E100" s="84">
        <v>7204815.2199999997</v>
      </c>
      <c r="F100" s="85"/>
    </row>
    <row r="101" spans="1:6" ht="16.2" x14ac:dyDescent="0.25">
      <c r="A101" s="373"/>
      <c r="B101" s="337"/>
      <c r="C101" s="373"/>
      <c r="D101" s="88" t="s">
        <v>32</v>
      </c>
      <c r="E101" s="84">
        <v>368408.7</v>
      </c>
      <c r="F101" s="85"/>
    </row>
    <row r="102" spans="1:6" ht="16.2" x14ac:dyDescent="0.25">
      <c r="A102" s="373"/>
      <c r="B102" s="337"/>
      <c r="C102" s="373"/>
      <c r="D102" s="88" t="s">
        <v>18</v>
      </c>
      <c r="E102" s="84">
        <v>7573223.9199999999</v>
      </c>
      <c r="F102" s="85"/>
    </row>
    <row r="103" spans="1:6" ht="16.2" x14ac:dyDescent="0.25">
      <c r="A103" s="373">
        <v>21</v>
      </c>
      <c r="B103" s="337" t="s">
        <v>99</v>
      </c>
      <c r="C103" s="373">
        <v>32</v>
      </c>
      <c r="D103" s="88" t="s">
        <v>24</v>
      </c>
      <c r="E103" s="84">
        <v>3263881.88</v>
      </c>
      <c r="F103" s="85"/>
    </row>
    <row r="104" spans="1:6" ht="16.2" x14ac:dyDescent="0.25">
      <c r="A104" s="373"/>
      <c r="B104" s="337"/>
      <c r="C104" s="373"/>
      <c r="D104" s="88" t="s">
        <v>32</v>
      </c>
      <c r="E104" s="84">
        <v>192938.83</v>
      </c>
      <c r="F104" s="85"/>
    </row>
    <row r="105" spans="1:6" ht="16.2" x14ac:dyDescent="0.25">
      <c r="A105" s="373"/>
      <c r="B105" s="337"/>
      <c r="C105" s="373"/>
      <c r="D105" s="88" t="s">
        <v>18</v>
      </c>
      <c r="E105" s="84">
        <v>3456820.71</v>
      </c>
      <c r="F105" s="85"/>
    </row>
    <row r="106" spans="1:6" ht="16.2" x14ac:dyDescent="0.25">
      <c r="A106" s="373">
        <v>22</v>
      </c>
      <c r="B106" s="337" t="s">
        <v>99</v>
      </c>
      <c r="C106" s="373">
        <v>36</v>
      </c>
      <c r="D106" s="88" t="s">
        <v>24</v>
      </c>
      <c r="E106" s="84">
        <v>9684612.0199999996</v>
      </c>
      <c r="F106" s="85"/>
    </row>
    <row r="107" spans="1:6" ht="16.2" x14ac:dyDescent="0.25">
      <c r="A107" s="373"/>
      <c r="B107" s="337"/>
      <c r="C107" s="373"/>
      <c r="D107" s="88" t="s">
        <v>32</v>
      </c>
      <c r="E107" s="84">
        <v>503531.44</v>
      </c>
      <c r="F107" s="85"/>
    </row>
    <row r="108" spans="1:6" ht="16.2" x14ac:dyDescent="0.25">
      <c r="A108" s="373"/>
      <c r="B108" s="337"/>
      <c r="C108" s="373"/>
      <c r="D108" s="88" t="s">
        <v>18</v>
      </c>
      <c r="E108" s="84">
        <v>10188143.460000001</v>
      </c>
      <c r="F108" s="85"/>
    </row>
    <row r="109" spans="1:6" ht="16.2" x14ac:dyDescent="0.25">
      <c r="A109" s="86">
        <v>23</v>
      </c>
      <c r="B109" s="87" t="s">
        <v>100</v>
      </c>
      <c r="C109" s="86" t="s">
        <v>101</v>
      </c>
      <c r="D109" s="88" t="s">
        <v>96</v>
      </c>
      <c r="E109" s="84">
        <v>3650877.41</v>
      </c>
      <c r="F109" s="85"/>
    </row>
    <row r="110" spans="1:6" ht="16.2" x14ac:dyDescent="0.25">
      <c r="A110" s="86">
        <v>1</v>
      </c>
      <c r="B110" s="86">
        <v>2</v>
      </c>
      <c r="C110" s="86">
        <v>3</v>
      </c>
      <c r="D110" s="84">
        <v>4</v>
      </c>
      <c r="E110" s="84">
        <v>5</v>
      </c>
      <c r="F110" s="85"/>
    </row>
    <row r="111" spans="1:6" ht="16.2" x14ac:dyDescent="0.25">
      <c r="A111" s="337"/>
      <c r="B111" s="337"/>
      <c r="C111" s="337"/>
      <c r="D111" s="88" t="s">
        <v>31</v>
      </c>
      <c r="E111" s="84">
        <v>15149490.16</v>
      </c>
      <c r="F111" s="85"/>
    </row>
    <row r="112" spans="1:6" ht="16.2" x14ac:dyDescent="0.25">
      <c r="A112" s="337"/>
      <c r="B112" s="337"/>
      <c r="C112" s="337"/>
      <c r="D112" s="88" t="s">
        <v>33</v>
      </c>
      <c r="E112" s="84">
        <v>5425923.4199999999</v>
      </c>
      <c r="F112" s="85"/>
    </row>
    <row r="113" spans="1:6" ht="16.2" x14ac:dyDescent="0.25">
      <c r="A113" s="337"/>
      <c r="B113" s="337"/>
      <c r="C113" s="337"/>
      <c r="D113" s="88" t="s">
        <v>17</v>
      </c>
      <c r="E113" s="84">
        <v>635639.35</v>
      </c>
      <c r="F113" s="85"/>
    </row>
    <row r="114" spans="1:6" ht="16.2" x14ac:dyDescent="0.25">
      <c r="A114" s="337"/>
      <c r="B114" s="337"/>
      <c r="C114" s="337"/>
      <c r="D114" s="88" t="s">
        <v>18</v>
      </c>
      <c r="E114" s="84">
        <v>24861930.34</v>
      </c>
      <c r="F114" s="85"/>
    </row>
    <row r="115" spans="1:6" ht="16.2" x14ac:dyDescent="0.25">
      <c r="A115" s="373">
        <v>24</v>
      </c>
      <c r="B115" s="337" t="s">
        <v>100</v>
      </c>
      <c r="C115" s="373" t="s">
        <v>102</v>
      </c>
      <c r="D115" s="88" t="s">
        <v>24</v>
      </c>
      <c r="E115" s="84">
        <v>23037236.949999999</v>
      </c>
      <c r="F115" s="85"/>
    </row>
    <row r="116" spans="1:6" ht="16.2" x14ac:dyDescent="0.25">
      <c r="A116" s="373"/>
      <c r="B116" s="337"/>
      <c r="C116" s="373"/>
      <c r="D116" s="88" t="s">
        <v>96</v>
      </c>
      <c r="E116" s="84">
        <v>5003769.34</v>
      </c>
      <c r="F116" s="85"/>
    </row>
    <row r="117" spans="1:6" ht="16.2" x14ac:dyDescent="0.25">
      <c r="A117" s="373"/>
      <c r="B117" s="337"/>
      <c r="C117" s="373"/>
      <c r="D117" s="88" t="s">
        <v>31</v>
      </c>
      <c r="E117" s="84">
        <v>20763379.859999999</v>
      </c>
      <c r="F117" s="85"/>
    </row>
    <row r="118" spans="1:6" ht="16.2" x14ac:dyDescent="0.25">
      <c r="A118" s="373"/>
      <c r="B118" s="337"/>
      <c r="C118" s="373"/>
      <c r="D118" s="88" t="s">
        <v>33</v>
      </c>
      <c r="E118" s="84">
        <v>7436587.5</v>
      </c>
      <c r="F118" s="85"/>
    </row>
    <row r="119" spans="1:6" ht="16.2" x14ac:dyDescent="0.25">
      <c r="A119" s="373"/>
      <c r="B119" s="337"/>
      <c r="C119" s="373"/>
      <c r="D119" s="88" t="s">
        <v>17</v>
      </c>
      <c r="E119" s="84">
        <v>2062874.75</v>
      </c>
      <c r="F119" s="85"/>
    </row>
    <row r="120" spans="1:6" ht="16.2" x14ac:dyDescent="0.25">
      <c r="A120" s="373"/>
      <c r="B120" s="337"/>
      <c r="C120" s="373"/>
      <c r="D120" s="88" t="s">
        <v>18</v>
      </c>
      <c r="E120" s="84">
        <v>58303848.399999999</v>
      </c>
      <c r="F120" s="85"/>
    </row>
    <row r="121" spans="1:6" ht="16.2" x14ac:dyDescent="0.25">
      <c r="A121" s="374">
        <v>25</v>
      </c>
      <c r="B121" s="376" t="s">
        <v>105</v>
      </c>
      <c r="C121" s="374">
        <v>7</v>
      </c>
      <c r="D121" s="88" t="s">
        <v>24</v>
      </c>
      <c r="E121" s="84">
        <v>13641914.42</v>
      </c>
      <c r="F121" s="85"/>
    </row>
    <row r="122" spans="1:6" ht="16.2" x14ac:dyDescent="0.25">
      <c r="A122" s="374"/>
      <c r="B122" s="376"/>
      <c r="C122" s="374"/>
      <c r="D122" s="88" t="s">
        <v>32</v>
      </c>
      <c r="E122" s="84">
        <v>329793.06</v>
      </c>
      <c r="F122" s="85"/>
    </row>
    <row r="123" spans="1:6" ht="16.2" x14ac:dyDescent="0.25">
      <c r="A123" s="374"/>
      <c r="B123" s="376"/>
      <c r="C123" s="374"/>
      <c r="D123" s="88" t="s">
        <v>18</v>
      </c>
      <c r="E123" s="84">
        <v>13971707.48</v>
      </c>
      <c r="F123" s="85"/>
    </row>
    <row r="124" spans="1:6" ht="16.2" x14ac:dyDescent="0.25">
      <c r="A124" s="373">
        <v>26</v>
      </c>
      <c r="B124" s="337" t="s">
        <v>106</v>
      </c>
      <c r="C124" s="373">
        <v>4</v>
      </c>
      <c r="D124" s="88" t="s">
        <v>24</v>
      </c>
      <c r="E124" s="84">
        <v>5336071.21</v>
      </c>
      <c r="F124" s="85"/>
    </row>
    <row r="125" spans="1:6" ht="16.2" x14ac:dyDescent="0.25">
      <c r="A125" s="373"/>
      <c r="B125" s="337"/>
      <c r="C125" s="373"/>
      <c r="D125" s="88" t="s">
        <v>32</v>
      </c>
      <c r="E125" s="84">
        <v>74705</v>
      </c>
      <c r="F125" s="85"/>
    </row>
    <row r="126" spans="1:6" ht="16.2" x14ac:dyDescent="0.25">
      <c r="A126" s="373"/>
      <c r="B126" s="337"/>
      <c r="C126" s="373"/>
      <c r="D126" s="88" t="s">
        <v>18</v>
      </c>
      <c r="E126" s="84">
        <v>5410776.21</v>
      </c>
      <c r="F126" s="85"/>
    </row>
    <row r="127" spans="1:6" ht="16.2" x14ac:dyDescent="0.25">
      <c r="A127" s="86">
        <v>27</v>
      </c>
      <c r="B127" s="87" t="s">
        <v>106</v>
      </c>
      <c r="C127" s="86">
        <v>8</v>
      </c>
      <c r="D127" s="88" t="s">
        <v>24</v>
      </c>
      <c r="E127" s="84">
        <v>9846462.4800000004</v>
      </c>
      <c r="F127" s="85"/>
    </row>
    <row r="128" spans="1:6" ht="16.2" x14ac:dyDescent="0.25">
      <c r="A128" s="86">
        <v>1</v>
      </c>
      <c r="B128" s="86">
        <v>2</v>
      </c>
      <c r="C128" s="86">
        <v>3</v>
      </c>
      <c r="D128" s="84">
        <v>4</v>
      </c>
      <c r="E128" s="84">
        <v>5</v>
      </c>
      <c r="F128" s="85"/>
    </row>
    <row r="129" spans="1:6" ht="16.2" x14ac:dyDescent="0.25">
      <c r="A129" s="337"/>
      <c r="B129" s="337"/>
      <c r="C129" s="337"/>
      <c r="D129" s="88" t="s">
        <v>32</v>
      </c>
      <c r="E129" s="84">
        <v>321553.62</v>
      </c>
      <c r="F129" s="85"/>
    </row>
    <row r="130" spans="1:6" ht="16.2" x14ac:dyDescent="0.25">
      <c r="A130" s="337"/>
      <c r="B130" s="337"/>
      <c r="C130" s="337"/>
      <c r="D130" s="88" t="s">
        <v>18</v>
      </c>
      <c r="E130" s="84">
        <v>10168016.1</v>
      </c>
      <c r="F130" s="85"/>
    </row>
    <row r="131" spans="1:6" ht="16.2" x14ac:dyDescent="0.25">
      <c r="A131" s="373">
        <v>28</v>
      </c>
      <c r="B131" s="337" t="s">
        <v>107</v>
      </c>
      <c r="C131" s="373" t="s">
        <v>108</v>
      </c>
      <c r="D131" s="88" t="s">
        <v>24</v>
      </c>
      <c r="E131" s="84">
        <v>6857764.7199999997</v>
      </c>
      <c r="F131" s="85"/>
    </row>
    <row r="132" spans="1:6" ht="16.2" x14ac:dyDescent="0.25">
      <c r="A132" s="373"/>
      <c r="B132" s="337"/>
      <c r="C132" s="373"/>
      <c r="D132" s="88" t="s">
        <v>32</v>
      </c>
      <c r="E132" s="84">
        <v>405385.11</v>
      </c>
      <c r="F132" s="85"/>
    </row>
    <row r="133" spans="1:6" ht="16.2" x14ac:dyDescent="0.25">
      <c r="A133" s="373"/>
      <c r="B133" s="337"/>
      <c r="C133" s="373"/>
      <c r="D133" s="88" t="s">
        <v>18</v>
      </c>
      <c r="E133" s="84">
        <v>7263149.8300000001</v>
      </c>
      <c r="F133" s="85"/>
    </row>
    <row r="134" spans="1:6" ht="16.2" x14ac:dyDescent="0.25">
      <c r="A134" s="373">
        <v>29</v>
      </c>
      <c r="B134" s="337" t="s">
        <v>109</v>
      </c>
      <c r="C134" s="373">
        <v>3</v>
      </c>
      <c r="D134" s="88" t="s">
        <v>59</v>
      </c>
      <c r="E134" s="84">
        <v>1215410.51</v>
      </c>
      <c r="F134" s="85"/>
    </row>
    <row r="135" spans="1:6" ht="16.2" x14ac:dyDescent="0.25">
      <c r="A135" s="373"/>
      <c r="B135" s="337"/>
      <c r="C135" s="373"/>
      <c r="D135" s="88" t="s">
        <v>32</v>
      </c>
      <c r="E135" s="84">
        <v>224000</v>
      </c>
      <c r="F135" s="85"/>
    </row>
    <row r="136" spans="1:6" ht="16.2" x14ac:dyDescent="0.25">
      <c r="A136" s="373"/>
      <c r="B136" s="337"/>
      <c r="C136" s="373"/>
      <c r="D136" s="88" t="s">
        <v>18</v>
      </c>
      <c r="E136" s="84">
        <v>1439410.51</v>
      </c>
      <c r="F136" s="85"/>
    </row>
    <row r="137" spans="1:6" ht="16.2" x14ac:dyDescent="0.25">
      <c r="A137" s="373">
        <v>30</v>
      </c>
      <c r="B137" s="337" t="s">
        <v>109</v>
      </c>
      <c r="C137" s="373">
        <v>30</v>
      </c>
      <c r="D137" s="88" t="s">
        <v>59</v>
      </c>
      <c r="E137" s="84">
        <v>1215410.51</v>
      </c>
      <c r="F137" s="85"/>
    </row>
    <row r="138" spans="1:6" ht="16.2" x14ac:dyDescent="0.25">
      <c r="A138" s="373"/>
      <c r="B138" s="337"/>
      <c r="C138" s="373"/>
      <c r="D138" s="88" t="s">
        <v>32</v>
      </c>
      <c r="E138" s="84">
        <v>224000</v>
      </c>
      <c r="F138" s="85"/>
    </row>
    <row r="139" spans="1:6" ht="16.2" x14ac:dyDescent="0.25">
      <c r="A139" s="373"/>
      <c r="B139" s="337"/>
      <c r="C139" s="373"/>
      <c r="D139" s="88" t="s">
        <v>18</v>
      </c>
      <c r="E139" s="84">
        <v>1439410.51</v>
      </c>
      <c r="F139" s="85"/>
    </row>
    <row r="140" spans="1:6" ht="16.2" x14ac:dyDescent="0.25">
      <c r="A140" s="373">
        <v>31</v>
      </c>
      <c r="B140" s="337" t="s">
        <v>109</v>
      </c>
      <c r="C140" s="373" t="s">
        <v>112</v>
      </c>
      <c r="D140" s="88" t="s">
        <v>59</v>
      </c>
      <c r="E140" s="84">
        <v>1215410.51</v>
      </c>
      <c r="F140" s="85"/>
    </row>
    <row r="141" spans="1:6" ht="16.2" x14ac:dyDescent="0.25">
      <c r="A141" s="373"/>
      <c r="B141" s="337"/>
      <c r="C141" s="373"/>
      <c r="D141" s="88" t="s">
        <v>32</v>
      </c>
      <c r="E141" s="84">
        <v>224000</v>
      </c>
      <c r="F141" s="85"/>
    </row>
    <row r="142" spans="1:6" ht="16.2" x14ac:dyDescent="0.25">
      <c r="A142" s="373"/>
      <c r="B142" s="337"/>
      <c r="C142" s="373"/>
      <c r="D142" s="88" t="s">
        <v>18</v>
      </c>
      <c r="E142" s="84">
        <v>1439410.51</v>
      </c>
      <c r="F142" s="85"/>
    </row>
    <row r="143" spans="1:6" ht="16.2" x14ac:dyDescent="0.25">
      <c r="A143" s="373">
        <v>32</v>
      </c>
      <c r="B143" s="337" t="s">
        <v>115</v>
      </c>
      <c r="C143" s="373">
        <v>8</v>
      </c>
      <c r="D143" s="88" t="s">
        <v>24</v>
      </c>
      <c r="E143" s="84">
        <v>41063600.619999997</v>
      </c>
      <c r="F143" s="85"/>
    </row>
    <row r="144" spans="1:6" ht="16.2" x14ac:dyDescent="0.25">
      <c r="A144" s="373"/>
      <c r="B144" s="337"/>
      <c r="C144" s="373"/>
      <c r="D144" s="88" t="s">
        <v>32</v>
      </c>
      <c r="E144" s="84">
        <v>2427404.96</v>
      </c>
      <c r="F144" s="85"/>
    </row>
    <row r="145" spans="1:6" ht="16.2" x14ac:dyDescent="0.25">
      <c r="A145" s="373"/>
      <c r="B145" s="337"/>
      <c r="C145" s="373"/>
      <c r="D145" s="88" t="s">
        <v>18</v>
      </c>
      <c r="E145" s="84">
        <v>43491005.579999998</v>
      </c>
      <c r="F145" s="85"/>
    </row>
    <row r="146" spans="1:6" ht="16.2" x14ac:dyDescent="0.25">
      <c r="A146" s="86">
        <v>1</v>
      </c>
      <c r="B146" s="86">
        <v>2</v>
      </c>
      <c r="C146" s="86">
        <v>3</v>
      </c>
      <c r="D146" s="84">
        <v>4</v>
      </c>
      <c r="E146" s="84">
        <v>5</v>
      </c>
      <c r="F146" s="85"/>
    </row>
    <row r="147" spans="1:6" ht="16.2" x14ac:dyDescent="0.25">
      <c r="A147" s="373">
        <v>33</v>
      </c>
      <c r="B147" s="337" t="s">
        <v>118</v>
      </c>
      <c r="C147" s="373">
        <v>47</v>
      </c>
      <c r="D147" s="88" t="s">
        <v>59</v>
      </c>
      <c r="E147" s="84">
        <v>1215410.51</v>
      </c>
      <c r="F147" s="85"/>
    </row>
    <row r="148" spans="1:6" ht="16.2" x14ac:dyDescent="0.25">
      <c r="A148" s="373"/>
      <c r="B148" s="337"/>
      <c r="C148" s="373"/>
      <c r="D148" s="88" t="s">
        <v>17</v>
      </c>
      <c r="E148" s="84">
        <v>531157.51</v>
      </c>
      <c r="F148" s="85"/>
    </row>
    <row r="149" spans="1:6" ht="16.2" x14ac:dyDescent="0.25">
      <c r="A149" s="373"/>
      <c r="B149" s="337"/>
      <c r="C149" s="373"/>
      <c r="D149" s="88" t="s">
        <v>18</v>
      </c>
      <c r="E149" s="84">
        <v>1746568.02</v>
      </c>
      <c r="F149" s="85"/>
    </row>
    <row r="150" spans="1:6" ht="16.2" x14ac:dyDescent="0.25">
      <c r="A150" s="373">
        <v>34</v>
      </c>
      <c r="B150" s="337" t="s">
        <v>119</v>
      </c>
      <c r="C150" s="373" t="s">
        <v>120</v>
      </c>
      <c r="D150" s="88" t="s">
        <v>26</v>
      </c>
      <c r="E150" s="84">
        <v>2209994.52</v>
      </c>
      <c r="F150" s="85"/>
    </row>
    <row r="151" spans="1:6" ht="16.2" x14ac:dyDescent="0.25">
      <c r="A151" s="373"/>
      <c r="B151" s="337"/>
      <c r="C151" s="373"/>
      <c r="D151" s="88" t="s">
        <v>27</v>
      </c>
      <c r="E151" s="84">
        <v>12012543.99</v>
      </c>
      <c r="F151" s="85"/>
    </row>
    <row r="152" spans="1:6" ht="16.2" x14ac:dyDescent="0.25">
      <c r="A152" s="373"/>
      <c r="B152" s="337"/>
      <c r="C152" s="373"/>
      <c r="D152" s="88" t="s">
        <v>28</v>
      </c>
      <c r="E152" s="84">
        <v>2331745.94</v>
      </c>
      <c r="F152" s="85"/>
    </row>
    <row r="153" spans="1:6" ht="16.2" x14ac:dyDescent="0.25">
      <c r="A153" s="373"/>
      <c r="B153" s="337"/>
      <c r="C153" s="373"/>
      <c r="D153" s="88" t="s">
        <v>29</v>
      </c>
      <c r="E153" s="84">
        <v>2306283.9300000002</v>
      </c>
      <c r="F153" s="85"/>
    </row>
    <row r="154" spans="1:6" ht="16.2" x14ac:dyDescent="0.25">
      <c r="A154" s="373"/>
      <c r="B154" s="337"/>
      <c r="C154" s="373"/>
      <c r="D154" s="88" t="s">
        <v>30</v>
      </c>
      <c r="E154" s="84">
        <v>2311483.92</v>
      </c>
      <c r="F154" s="85"/>
    </row>
    <row r="155" spans="1:6" ht="16.2" x14ac:dyDescent="0.25">
      <c r="A155" s="373"/>
      <c r="B155" s="337"/>
      <c r="C155" s="373"/>
      <c r="D155" s="88" t="s">
        <v>24</v>
      </c>
      <c r="E155" s="84">
        <v>12613734.23</v>
      </c>
      <c r="F155" s="85"/>
    </row>
    <row r="156" spans="1:6" ht="16.2" x14ac:dyDescent="0.25">
      <c r="A156" s="373"/>
      <c r="B156" s="337"/>
      <c r="C156" s="373"/>
      <c r="D156" s="88" t="s">
        <v>32</v>
      </c>
      <c r="E156" s="84">
        <v>1393012.7</v>
      </c>
      <c r="F156" s="85"/>
    </row>
    <row r="157" spans="1:6" ht="16.2" x14ac:dyDescent="0.25">
      <c r="A157" s="373"/>
      <c r="B157" s="337"/>
      <c r="C157" s="373"/>
      <c r="D157" s="88" t="s">
        <v>18</v>
      </c>
      <c r="E157" s="84">
        <v>35178799.229999997</v>
      </c>
      <c r="F157" s="85"/>
    </row>
    <row r="158" spans="1:6" ht="16.2" x14ac:dyDescent="0.25">
      <c r="A158" s="373">
        <v>35</v>
      </c>
      <c r="B158" s="337" t="s">
        <v>119</v>
      </c>
      <c r="C158" s="373" t="s">
        <v>121</v>
      </c>
      <c r="D158" s="88" t="s">
        <v>24</v>
      </c>
      <c r="E158" s="84">
        <v>9582087.3100000005</v>
      </c>
      <c r="F158" s="85"/>
    </row>
    <row r="159" spans="1:6" ht="16.2" x14ac:dyDescent="0.25">
      <c r="A159" s="373"/>
      <c r="B159" s="337"/>
      <c r="C159" s="373"/>
      <c r="D159" s="88" t="s">
        <v>32</v>
      </c>
      <c r="E159" s="84">
        <v>315469.21000000002</v>
      </c>
      <c r="F159" s="85"/>
    </row>
    <row r="160" spans="1:6" ht="16.2" x14ac:dyDescent="0.25">
      <c r="A160" s="373"/>
      <c r="B160" s="337"/>
      <c r="C160" s="373"/>
      <c r="D160" s="88" t="s">
        <v>18</v>
      </c>
      <c r="E160" s="84">
        <v>9897556.5199999996</v>
      </c>
      <c r="F160" s="85"/>
    </row>
    <row r="161" spans="1:6" ht="16.2" x14ac:dyDescent="0.25">
      <c r="A161" s="373">
        <v>36</v>
      </c>
      <c r="B161" s="337" t="s">
        <v>119</v>
      </c>
      <c r="C161" s="373">
        <v>54</v>
      </c>
      <c r="D161" s="88" t="s">
        <v>24</v>
      </c>
      <c r="E161" s="84">
        <v>5439511.8700000001</v>
      </c>
      <c r="F161" s="85"/>
    </row>
    <row r="162" spans="1:6" ht="16.2" x14ac:dyDescent="0.25">
      <c r="A162" s="373"/>
      <c r="B162" s="337"/>
      <c r="C162" s="373"/>
      <c r="D162" s="88" t="s">
        <v>32</v>
      </c>
      <c r="E162" s="84">
        <v>626259.69999999995</v>
      </c>
      <c r="F162" s="85"/>
    </row>
    <row r="163" spans="1:6" ht="16.2" x14ac:dyDescent="0.25">
      <c r="A163" s="373"/>
      <c r="B163" s="337"/>
      <c r="C163" s="373"/>
      <c r="D163" s="88" t="s">
        <v>18</v>
      </c>
      <c r="E163" s="84">
        <v>6065771.5700000003</v>
      </c>
      <c r="F163" s="85"/>
    </row>
    <row r="164" spans="1:6" ht="16.2" x14ac:dyDescent="0.25">
      <c r="A164" s="86">
        <v>1</v>
      </c>
      <c r="B164" s="86">
        <v>2</v>
      </c>
      <c r="C164" s="86">
        <v>3</v>
      </c>
      <c r="D164" s="84">
        <v>4</v>
      </c>
      <c r="E164" s="84">
        <v>5</v>
      </c>
      <c r="F164" s="85"/>
    </row>
    <row r="165" spans="1:6" ht="16.2" x14ac:dyDescent="0.25">
      <c r="A165" s="373">
        <v>37</v>
      </c>
      <c r="B165" s="337" t="s">
        <v>127</v>
      </c>
      <c r="C165" s="373">
        <v>6</v>
      </c>
      <c r="D165" s="88" t="s">
        <v>24</v>
      </c>
      <c r="E165" s="84">
        <v>9197335.9399999995</v>
      </c>
      <c r="F165" s="85"/>
    </row>
    <row r="166" spans="1:6" ht="16.2" x14ac:dyDescent="0.25">
      <c r="A166" s="373"/>
      <c r="B166" s="337"/>
      <c r="C166" s="373"/>
      <c r="D166" s="88" t="s">
        <v>17</v>
      </c>
      <c r="E166" s="84">
        <v>543684.88</v>
      </c>
      <c r="F166" s="85"/>
    </row>
    <row r="167" spans="1:6" ht="16.2" x14ac:dyDescent="0.25">
      <c r="A167" s="373"/>
      <c r="B167" s="337"/>
      <c r="C167" s="373"/>
      <c r="D167" s="88" t="s">
        <v>18</v>
      </c>
      <c r="E167" s="84">
        <v>9741020.8200000003</v>
      </c>
      <c r="F167" s="85"/>
    </row>
    <row r="168" spans="1:6" ht="16.2" x14ac:dyDescent="0.25">
      <c r="A168" s="373">
        <v>38</v>
      </c>
      <c r="B168" s="337" t="s">
        <v>128</v>
      </c>
      <c r="C168" s="373">
        <v>9</v>
      </c>
      <c r="D168" s="88" t="s">
        <v>129</v>
      </c>
      <c r="E168" s="84">
        <v>2933294.07</v>
      </c>
      <c r="F168" s="85"/>
    </row>
    <row r="169" spans="1:6" ht="16.2" x14ac:dyDescent="0.25">
      <c r="A169" s="373"/>
      <c r="B169" s="337"/>
      <c r="C169" s="373"/>
      <c r="D169" s="88" t="s">
        <v>32</v>
      </c>
      <c r="E169" s="84">
        <v>7014.9</v>
      </c>
      <c r="F169" s="85"/>
    </row>
    <row r="170" spans="1:6" ht="16.2" x14ac:dyDescent="0.25">
      <c r="A170" s="373"/>
      <c r="B170" s="337"/>
      <c r="C170" s="373"/>
      <c r="D170" s="88" t="s">
        <v>18</v>
      </c>
      <c r="E170" s="84">
        <v>2940308.97</v>
      </c>
      <c r="F170" s="85"/>
    </row>
    <row r="171" spans="1:6" ht="16.2" x14ac:dyDescent="0.25">
      <c r="A171" s="373">
        <v>39</v>
      </c>
      <c r="B171" s="337" t="s">
        <v>130</v>
      </c>
      <c r="C171" s="373">
        <v>6</v>
      </c>
      <c r="D171" s="88" t="s">
        <v>24</v>
      </c>
      <c r="E171" s="84">
        <v>7373778.3099999996</v>
      </c>
      <c r="F171" s="85"/>
    </row>
    <row r="172" spans="1:6" ht="16.2" x14ac:dyDescent="0.25">
      <c r="A172" s="373"/>
      <c r="B172" s="337"/>
      <c r="C172" s="373"/>
      <c r="D172" s="88" t="s">
        <v>32</v>
      </c>
      <c r="E172" s="84">
        <v>310356.7</v>
      </c>
      <c r="F172" s="85"/>
    </row>
    <row r="173" spans="1:6" ht="16.2" x14ac:dyDescent="0.25">
      <c r="A173" s="373"/>
      <c r="B173" s="337"/>
      <c r="C173" s="373"/>
      <c r="D173" s="88" t="s">
        <v>18</v>
      </c>
      <c r="E173" s="84">
        <v>7684135.0099999998</v>
      </c>
      <c r="F173" s="85"/>
    </row>
    <row r="174" spans="1:6" ht="16.2" x14ac:dyDescent="0.25">
      <c r="A174" s="373">
        <v>40</v>
      </c>
      <c r="B174" s="337" t="s">
        <v>133</v>
      </c>
      <c r="C174" s="373">
        <v>1</v>
      </c>
      <c r="D174" s="88" t="s">
        <v>24</v>
      </c>
      <c r="E174" s="84">
        <v>11643967.220000001</v>
      </c>
      <c r="F174" s="85"/>
    </row>
    <row r="175" spans="1:6" ht="16.2" x14ac:dyDescent="0.25">
      <c r="A175" s="373"/>
      <c r="B175" s="337"/>
      <c r="C175" s="373"/>
      <c r="D175" s="88" t="s">
        <v>32</v>
      </c>
      <c r="E175" s="84">
        <v>486116.38</v>
      </c>
      <c r="F175" s="85"/>
    </row>
    <row r="176" spans="1:6" ht="16.2" x14ac:dyDescent="0.25">
      <c r="A176" s="373"/>
      <c r="B176" s="337"/>
      <c r="C176" s="373"/>
      <c r="D176" s="88" t="s">
        <v>18</v>
      </c>
      <c r="E176" s="84">
        <v>12130083.6</v>
      </c>
      <c r="F176" s="85"/>
    </row>
    <row r="177" spans="1:6" ht="16.2" x14ac:dyDescent="0.25">
      <c r="A177" s="373">
        <v>41</v>
      </c>
      <c r="B177" s="337" t="s">
        <v>133</v>
      </c>
      <c r="C177" s="373">
        <v>3</v>
      </c>
      <c r="D177" s="88" t="s">
        <v>24</v>
      </c>
      <c r="E177" s="84">
        <v>40562734.329999998</v>
      </c>
      <c r="F177" s="85"/>
    </row>
    <row r="178" spans="1:6" ht="16.2" x14ac:dyDescent="0.25">
      <c r="A178" s="373"/>
      <c r="B178" s="337"/>
      <c r="C178" s="373"/>
      <c r="D178" s="88" t="s">
        <v>32</v>
      </c>
      <c r="E178" s="84">
        <v>2327236.1</v>
      </c>
      <c r="F178" s="85"/>
    </row>
    <row r="179" spans="1:6" ht="16.2" x14ac:dyDescent="0.25">
      <c r="A179" s="373"/>
      <c r="B179" s="337"/>
      <c r="C179" s="373"/>
      <c r="D179" s="88" t="s">
        <v>18</v>
      </c>
      <c r="E179" s="84">
        <v>42889970.43</v>
      </c>
      <c r="F179" s="85"/>
    </row>
    <row r="180" spans="1:6" ht="16.2" x14ac:dyDescent="0.25">
      <c r="A180" s="373">
        <v>42</v>
      </c>
      <c r="B180" s="337" t="s">
        <v>134</v>
      </c>
      <c r="C180" s="373">
        <v>19</v>
      </c>
      <c r="D180" s="88" t="s">
        <v>31</v>
      </c>
      <c r="E180" s="84">
        <v>6280782.7699999996</v>
      </c>
      <c r="F180" s="85"/>
    </row>
    <row r="181" spans="1:6" ht="16.2" x14ac:dyDescent="0.25">
      <c r="A181" s="373"/>
      <c r="B181" s="337"/>
      <c r="C181" s="373"/>
      <c r="D181" s="88" t="s">
        <v>18</v>
      </c>
      <c r="E181" s="84">
        <v>6280782.7699999996</v>
      </c>
      <c r="F181" s="85"/>
    </row>
    <row r="182" spans="1:6" ht="16.2" x14ac:dyDescent="0.25">
      <c r="A182" s="86">
        <v>1</v>
      </c>
      <c r="B182" s="86">
        <v>2</v>
      </c>
      <c r="C182" s="86">
        <v>3</v>
      </c>
      <c r="D182" s="84">
        <v>4</v>
      </c>
      <c r="E182" s="84">
        <v>5</v>
      </c>
      <c r="F182" s="85"/>
    </row>
    <row r="183" spans="1:6" ht="16.2" x14ac:dyDescent="0.25">
      <c r="A183" s="373">
        <v>43</v>
      </c>
      <c r="B183" s="337" t="s">
        <v>134</v>
      </c>
      <c r="C183" s="375">
        <v>44672</v>
      </c>
      <c r="D183" s="88" t="s">
        <v>31</v>
      </c>
      <c r="E183" s="84">
        <v>7432827.1299999999</v>
      </c>
      <c r="F183" s="85"/>
    </row>
    <row r="184" spans="1:6" ht="16.2" x14ac:dyDescent="0.25">
      <c r="A184" s="373"/>
      <c r="B184" s="337"/>
      <c r="C184" s="375"/>
      <c r="D184" s="88" t="s">
        <v>17</v>
      </c>
      <c r="E184" s="84">
        <v>619835.74</v>
      </c>
      <c r="F184" s="85"/>
    </row>
    <row r="185" spans="1:6" ht="16.2" x14ac:dyDescent="0.25">
      <c r="A185" s="373"/>
      <c r="B185" s="337"/>
      <c r="C185" s="375"/>
      <c r="D185" s="88" t="s">
        <v>18</v>
      </c>
      <c r="E185" s="84">
        <v>8052662.8700000001</v>
      </c>
      <c r="F185" s="85"/>
    </row>
    <row r="186" spans="1:6" ht="16.2" x14ac:dyDescent="0.25">
      <c r="A186" s="373">
        <v>44</v>
      </c>
      <c r="B186" s="337" t="s">
        <v>136</v>
      </c>
      <c r="C186" s="373" t="s">
        <v>137</v>
      </c>
      <c r="D186" s="88" t="s">
        <v>24</v>
      </c>
      <c r="E186" s="84">
        <v>15206067.59</v>
      </c>
      <c r="F186" s="85"/>
    </row>
    <row r="187" spans="1:6" ht="16.2" x14ac:dyDescent="0.25">
      <c r="A187" s="373"/>
      <c r="B187" s="337"/>
      <c r="C187" s="373"/>
      <c r="D187" s="88" t="s">
        <v>32</v>
      </c>
      <c r="E187" s="84">
        <v>852955.1</v>
      </c>
      <c r="F187" s="85"/>
    </row>
    <row r="188" spans="1:6" ht="16.2" x14ac:dyDescent="0.25">
      <c r="A188" s="373"/>
      <c r="B188" s="337"/>
      <c r="C188" s="373"/>
      <c r="D188" s="88" t="s">
        <v>18</v>
      </c>
      <c r="E188" s="84">
        <v>16059022.689999999</v>
      </c>
      <c r="F188" s="85"/>
    </row>
    <row r="189" spans="1:6" ht="16.2" x14ac:dyDescent="0.25">
      <c r="A189" s="373">
        <v>45</v>
      </c>
      <c r="B189" s="337" t="s">
        <v>136</v>
      </c>
      <c r="C189" s="373">
        <v>35</v>
      </c>
      <c r="D189" s="88" t="s">
        <v>31</v>
      </c>
      <c r="E189" s="84">
        <v>4369840.8</v>
      </c>
      <c r="F189" s="85"/>
    </row>
    <row r="190" spans="1:6" ht="16.2" x14ac:dyDescent="0.25">
      <c r="A190" s="373"/>
      <c r="B190" s="337"/>
      <c r="C190" s="373"/>
      <c r="D190" s="88" t="s">
        <v>32</v>
      </c>
      <c r="E190" s="84">
        <v>258315.71</v>
      </c>
      <c r="F190" s="85"/>
    </row>
    <row r="191" spans="1:6" ht="16.2" x14ac:dyDescent="0.25">
      <c r="A191" s="373"/>
      <c r="B191" s="337"/>
      <c r="C191" s="373"/>
      <c r="D191" s="88" t="s">
        <v>18</v>
      </c>
      <c r="E191" s="84">
        <v>4628156.51</v>
      </c>
      <c r="F191" s="85"/>
    </row>
    <row r="192" spans="1:6" ht="16.2" x14ac:dyDescent="0.25">
      <c r="A192" s="373">
        <v>46</v>
      </c>
      <c r="B192" s="337" t="s">
        <v>138</v>
      </c>
      <c r="C192" s="373" t="s">
        <v>142</v>
      </c>
      <c r="D192" s="88" t="s">
        <v>26</v>
      </c>
      <c r="E192" s="84">
        <v>1706659.7</v>
      </c>
      <c r="F192" s="85"/>
    </row>
    <row r="193" spans="1:6" ht="16.2" x14ac:dyDescent="0.25">
      <c r="A193" s="373"/>
      <c r="B193" s="337"/>
      <c r="C193" s="373"/>
      <c r="D193" s="88" t="s">
        <v>27</v>
      </c>
      <c r="E193" s="84">
        <v>9276640.5199999996</v>
      </c>
      <c r="F193" s="85"/>
    </row>
    <row r="194" spans="1:6" ht="16.2" x14ac:dyDescent="0.25">
      <c r="A194" s="373"/>
      <c r="B194" s="337"/>
      <c r="C194" s="373"/>
      <c r="D194" s="88" t="s">
        <v>28</v>
      </c>
      <c r="E194" s="84">
        <v>1800681.76</v>
      </c>
      <c r="F194" s="85"/>
    </row>
    <row r="195" spans="1:6" ht="16.2" x14ac:dyDescent="0.25">
      <c r="A195" s="373"/>
      <c r="B195" s="337"/>
      <c r="C195" s="373"/>
      <c r="D195" s="88" t="s">
        <v>29</v>
      </c>
      <c r="E195" s="84">
        <v>1781018.83</v>
      </c>
      <c r="F195" s="85"/>
    </row>
    <row r="196" spans="1:6" ht="16.2" x14ac:dyDescent="0.25">
      <c r="A196" s="373"/>
      <c r="B196" s="337"/>
      <c r="C196" s="373"/>
      <c r="D196" s="88" t="s">
        <v>30</v>
      </c>
      <c r="E196" s="84">
        <v>1785034.5</v>
      </c>
      <c r="F196" s="85"/>
    </row>
    <row r="197" spans="1:6" ht="16.2" x14ac:dyDescent="0.25">
      <c r="A197" s="373"/>
      <c r="B197" s="337"/>
      <c r="C197" s="373"/>
      <c r="D197" s="88" t="s">
        <v>24</v>
      </c>
      <c r="E197" s="84">
        <v>9740630.4000000004</v>
      </c>
      <c r="F197" s="85"/>
    </row>
    <row r="198" spans="1:6" ht="16.2" x14ac:dyDescent="0.25">
      <c r="A198" s="373"/>
      <c r="B198" s="337"/>
      <c r="C198" s="373"/>
      <c r="D198" s="88" t="s">
        <v>32</v>
      </c>
      <c r="E198" s="84">
        <v>1328755</v>
      </c>
      <c r="F198" s="85"/>
    </row>
    <row r="199" spans="1:6" ht="16.2" x14ac:dyDescent="0.25">
      <c r="A199" s="373"/>
      <c r="B199" s="337"/>
      <c r="C199" s="373"/>
      <c r="D199" s="88" t="s">
        <v>18</v>
      </c>
      <c r="E199" s="84">
        <v>27419420.710000001</v>
      </c>
      <c r="F199" s="85"/>
    </row>
    <row r="200" spans="1:6" ht="16.2" x14ac:dyDescent="0.25">
      <c r="A200" s="86">
        <v>1</v>
      </c>
      <c r="B200" s="86">
        <v>2</v>
      </c>
      <c r="C200" s="86">
        <v>3</v>
      </c>
      <c r="D200" s="84">
        <v>4</v>
      </c>
      <c r="E200" s="84">
        <v>5</v>
      </c>
      <c r="F200" s="85"/>
    </row>
    <row r="201" spans="1:6" ht="16.2" x14ac:dyDescent="0.25">
      <c r="A201" s="373">
        <v>47</v>
      </c>
      <c r="B201" s="337" t="s">
        <v>143</v>
      </c>
      <c r="C201" s="373" t="s">
        <v>144</v>
      </c>
      <c r="D201" s="88" t="s">
        <v>24</v>
      </c>
      <c r="E201" s="84">
        <v>8432162.1600000001</v>
      </c>
      <c r="F201" s="85"/>
    </row>
    <row r="202" spans="1:6" ht="16.2" x14ac:dyDescent="0.25">
      <c r="A202" s="373"/>
      <c r="B202" s="337"/>
      <c r="C202" s="373"/>
      <c r="D202" s="88" t="s">
        <v>32</v>
      </c>
      <c r="E202" s="84">
        <v>939358.67</v>
      </c>
      <c r="F202" s="85"/>
    </row>
    <row r="203" spans="1:6" ht="16.2" x14ac:dyDescent="0.25">
      <c r="A203" s="373"/>
      <c r="B203" s="337"/>
      <c r="C203" s="373"/>
      <c r="D203" s="88" t="s">
        <v>18</v>
      </c>
      <c r="E203" s="84">
        <v>9371520.8300000001</v>
      </c>
      <c r="F203" s="85"/>
    </row>
    <row r="204" spans="1:6" ht="16.2" x14ac:dyDescent="0.25">
      <c r="A204" s="373">
        <v>48</v>
      </c>
      <c r="B204" s="337" t="s">
        <v>145</v>
      </c>
      <c r="C204" s="373">
        <v>17</v>
      </c>
      <c r="D204" s="88" t="s">
        <v>26</v>
      </c>
      <c r="E204" s="84">
        <v>1252442.95</v>
      </c>
      <c r="F204" s="85"/>
    </row>
    <row r="205" spans="1:6" ht="16.2" x14ac:dyDescent="0.25">
      <c r="A205" s="373"/>
      <c r="B205" s="337"/>
      <c r="C205" s="373"/>
      <c r="D205" s="88" t="s">
        <v>27</v>
      </c>
      <c r="E205" s="84">
        <v>8411496.1199999992</v>
      </c>
      <c r="F205" s="85"/>
    </row>
    <row r="206" spans="1:6" ht="16.2" x14ac:dyDescent="0.25">
      <c r="A206" s="373"/>
      <c r="B206" s="337"/>
      <c r="C206" s="373"/>
      <c r="D206" s="88" t="s">
        <v>28</v>
      </c>
      <c r="E206" s="84">
        <v>1619900.98</v>
      </c>
      <c r="F206" s="85"/>
    </row>
    <row r="207" spans="1:6" ht="16.2" x14ac:dyDescent="0.25">
      <c r="A207" s="373"/>
      <c r="B207" s="337"/>
      <c r="C207" s="373"/>
      <c r="D207" s="88" t="s">
        <v>29</v>
      </c>
      <c r="E207" s="84">
        <v>1722217.24</v>
      </c>
      <c r="F207" s="85"/>
    </row>
    <row r="208" spans="1:6" ht="16.2" x14ac:dyDescent="0.25">
      <c r="A208" s="373"/>
      <c r="B208" s="337"/>
      <c r="C208" s="373"/>
      <c r="D208" s="88" t="s">
        <v>146</v>
      </c>
      <c r="E208" s="84">
        <v>1215410.51</v>
      </c>
      <c r="F208" s="85"/>
    </row>
    <row r="209" spans="1:6" ht="16.2" x14ac:dyDescent="0.25">
      <c r="A209" s="373"/>
      <c r="B209" s="337"/>
      <c r="C209" s="373"/>
      <c r="D209" s="88" t="s">
        <v>30</v>
      </c>
      <c r="E209" s="84">
        <v>1760073.14</v>
      </c>
      <c r="F209" s="85"/>
    </row>
    <row r="210" spans="1:6" ht="16.2" x14ac:dyDescent="0.25">
      <c r="A210" s="373"/>
      <c r="B210" s="337"/>
      <c r="C210" s="373"/>
      <c r="D210" s="88" t="s">
        <v>17</v>
      </c>
      <c r="E210" s="84">
        <v>679427.78</v>
      </c>
      <c r="F210" s="85"/>
    </row>
    <row r="211" spans="1:6" ht="16.2" x14ac:dyDescent="0.25">
      <c r="A211" s="373"/>
      <c r="B211" s="337"/>
      <c r="C211" s="373"/>
      <c r="D211" s="88" t="s">
        <v>18</v>
      </c>
      <c r="E211" s="84">
        <v>16660968.720000001</v>
      </c>
      <c r="F211" s="85"/>
    </row>
    <row r="212" spans="1:6" ht="16.2" x14ac:dyDescent="0.25">
      <c r="A212" s="373">
        <v>49</v>
      </c>
      <c r="B212" s="337" t="s">
        <v>145</v>
      </c>
      <c r="C212" s="373">
        <v>47</v>
      </c>
      <c r="D212" s="88" t="s">
        <v>24</v>
      </c>
      <c r="E212" s="84">
        <v>6807443.0899999999</v>
      </c>
      <c r="F212" s="85"/>
    </row>
    <row r="213" spans="1:6" ht="16.2" x14ac:dyDescent="0.25">
      <c r="A213" s="373"/>
      <c r="B213" s="337"/>
      <c r="C213" s="373"/>
      <c r="D213" s="88" t="s">
        <v>31</v>
      </c>
      <c r="E213" s="84">
        <v>9207396.9000000004</v>
      </c>
      <c r="F213" s="85"/>
    </row>
    <row r="214" spans="1:6" ht="16.2" x14ac:dyDescent="0.25">
      <c r="A214" s="373"/>
      <c r="B214" s="337"/>
      <c r="C214" s="373"/>
      <c r="D214" s="88" t="s">
        <v>17</v>
      </c>
      <c r="E214" s="84">
        <v>1094734.04</v>
      </c>
      <c r="F214" s="85"/>
    </row>
    <row r="215" spans="1:6" ht="16.2" x14ac:dyDescent="0.25">
      <c r="A215" s="373"/>
      <c r="B215" s="337"/>
      <c r="C215" s="373"/>
      <c r="D215" s="88" t="s">
        <v>18</v>
      </c>
      <c r="E215" s="84">
        <v>17109574.030000001</v>
      </c>
      <c r="F215" s="85"/>
    </row>
  </sheetData>
  <mergeCells count="168">
    <mergeCell ref="D1:E1"/>
    <mergeCell ref="K1:O1"/>
    <mergeCell ref="D2:E2"/>
    <mergeCell ref="K2:O2"/>
    <mergeCell ref="D3:E3"/>
    <mergeCell ref="K3:O3"/>
    <mergeCell ref="D4:E4"/>
    <mergeCell ref="K4:O4"/>
    <mergeCell ref="A6:E6"/>
    <mergeCell ref="A7:E7"/>
    <mergeCell ref="A8:E8"/>
    <mergeCell ref="A9:E9"/>
    <mergeCell ref="A10:E10"/>
    <mergeCell ref="A12:A13"/>
    <mergeCell ref="A15:A17"/>
    <mergeCell ref="A18:A19"/>
    <mergeCell ref="A21:A27"/>
    <mergeCell ref="A28:A29"/>
    <mergeCell ref="D12:D13"/>
    <mergeCell ref="E12:E13"/>
    <mergeCell ref="A30:A32"/>
    <mergeCell ref="A33:A35"/>
    <mergeCell ref="A36:A37"/>
    <mergeCell ref="A40:A47"/>
    <mergeCell ref="A48:A50"/>
    <mergeCell ref="A51:A53"/>
    <mergeCell ref="A54:A55"/>
    <mergeCell ref="A58:A64"/>
    <mergeCell ref="A65:A67"/>
    <mergeCell ref="A68:A70"/>
    <mergeCell ref="A71:A73"/>
    <mergeCell ref="A75:A77"/>
    <mergeCell ref="A78:A80"/>
    <mergeCell ref="A81:A87"/>
    <mergeCell ref="A88:A90"/>
    <mergeCell ref="A93:A99"/>
    <mergeCell ref="A100:A102"/>
    <mergeCell ref="A103:A105"/>
    <mergeCell ref="A106:A108"/>
    <mergeCell ref="A111:A114"/>
    <mergeCell ref="A115:A120"/>
    <mergeCell ref="A121:A123"/>
    <mergeCell ref="A124:A126"/>
    <mergeCell ref="A129:A130"/>
    <mergeCell ref="A131:A133"/>
    <mergeCell ref="A134:A136"/>
    <mergeCell ref="A137:A139"/>
    <mergeCell ref="A140:A142"/>
    <mergeCell ref="A143:A145"/>
    <mergeCell ref="A147:A149"/>
    <mergeCell ref="A150:A157"/>
    <mergeCell ref="A158:A160"/>
    <mergeCell ref="A161:A163"/>
    <mergeCell ref="A165:A167"/>
    <mergeCell ref="A168:A170"/>
    <mergeCell ref="A171:A173"/>
    <mergeCell ref="A174:A176"/>
    <mergeCell ref="A177:A179"/>
    <mergeCell ref="A180:A181"/>
    <mergeCell ref="A183:A185"/>
    <mergeCell ref="A186:A188"/>
    <mergeCell ref="A189:A191"/>
    <mergeCell ref="A192:A199"/>
    <mergeCell ref="A201:A203"/>
    <mergeCell ref="A204:A211"/>
    <mergeCell ref="A212:A215"/>
    <mergeCell ref="B12:B13"/>
    <mergeCell ref="B15:B17"/>
    <mergeCell ref="B18:B19"/>
    <mergeCell ref="B21:B27"/>
    <mergeCell ref="B28:B29"/>
    <mergeCell ref="B30:B32"/>
    <mergeCell ref="B33:B35"/>
    <mergeCell ref="B36:B37"/>
    <mergeCell ref="B40:B47"/>
    <mergeCell ref="B48:B50"/>
    <mergeCell ref="B51:B53"/>
    <mergeCell ref="B54:B55"/>
    <mergeCell ref="B58:B64"/>
    <mergeCell ref="B65:B67"/>
    <mergeCell ref="B68:B70"/>
    <mergeCell ref="B71:B73"/>
    <mergeCell ref="B75:B77"/>
    <mergeCell ref="B78:B80"/>
    <mergeCell ref="B81:B87"/>
    <mergeCell ref="B88:B90"/>
    <mergeCell ref="B93:B99"/>
    <mergeCell ref="B100:B102"/>
    <mergeCell ref="B103:B105"/>
    <mergeCell ref="B183:B185"/>
    <mergeCell ref="B186:B188"/>
    <mergeCell ref="B189:B191"/>
    <mergeCell ref="B192:B199"/>
    <mergeCell ref="B201:B203"/>
    <mergeCell ref="B204:B211"/>
    <mergeCell ref="B140:B142"/>
    <mergeCell ref="B143:B145"/>
    <mergeCell ref="B147:B149"/>
    <mergeCell ref="B150:B157"/>
    <mergeCell ref="B158:B160"/>
    <mergeCell ref="B161:B163"/>
    <mergeCell ref="B165:B167"/>
    <mergeCell ref="B168:B170"/>
    <mergeCell ref="B171:B173"/>
    <mergeCell ref="C78:C80"/>
    <mergeCell ref="C81:C87"/>
    <mergeCell ref="C88:C90"/>
    <mergeCell ref="C93:C99"/>
    <mergeCell ref="C100:C102"/>
    <mergeCell ref="C103:C105"/>
    <mergeCell ref="B174:B176"/>
    <mergeCell ref="B177:B179"/>
    <mergeCell ref="B180:B181"/>
    <mergeCell ref="B106:B108"/>
    <mergeCell ref="B111:B114"/>
    <mergeCell ref="B115:B120"/>
    <mergeCell ref="B121:B123"/>
    <mergeCell ref="B124:B126"/>
    <mergeCell ref="B129:B130"/>
    <mergeCell ref="B131:B133"/>
    <mergeCell ref="B134:B136"/>
    <mergeCell ref="B137:B139"/>
    <mergeCell ref="C121:C123"/>
    <mergeCell ref="C124:C126"/>
    <mergeCell ref="C129:C130"/>
    <mergeCell ref="C131:C133"/>
    <mergeCell ref="C134:C136"/>
    <mergeCell ref="C137:C139"/>
    <mergeCell ref="B212:B215"/>
    <mergeCell ref="C12:C13"/>
    <mergeCell ref="C15:C17"/>
    <mergeCell ref="C18:C19"/>
    <mergeCell ref="C21:C27"/>
    <mergeCell ref="C28:C29"/>
    <mergeCell ref="C30:C32"/>
    <mergeCell ref="C33:C35"/>
    <mergeCell ref="C36:C37"/>
    <mergeCell ref="C40:C47"/>
    <mergeCell ref="C48:C50"/>
    <mergeCell ref="C51:C53"/>
    <mergeCell ref="C54:C55"/>
    <mergeCell ref="C58:C64"/>
    <mergeCell ref="C65:C67"/>
    <mergeCell ref="C68:C70"/>
    <mergeCell ref="C71:C73"/>
    <mergeCell ref="C75:C77"/>
    <mergeCell ref="C212:C215"/>
    <mergeCell ref="C174:C176"/>
    <mergeCell ref="C177:C179"/>
    <mergeCell ref="C180:C181"/>
    <mergeCell ref="C183:C185"/>
    <mergeCell ref="C186:C188"/>
    <mergeCell ref="C106:C108"/>
    <mergeCell ref="C111:C114"/>
    <mergeCell ref="C115:C120"/>
    <mergeCell ref="C189:C191"/>
    <mergeCell ref="C192:C199"/>
    <mergeCell ref="C201:C203"/>
    <mergeCell ref="C204:C211"/>
    <mergeCell ref="C140:C142"/>
    <mergeCell ref="C143:C145"/>
    <mergeCell ref="C147:C149"/>
    <mergeCell ref="C150:C157"/>
    <mergeCell ref="C158:C160"/>
    <mergeCell ref="C161:C163"/>
    <mergeCell ref="C165:C167"/>
    <mergeCell ref="C168:C170"/>
    <mergeCell ref="C171:C173"/>
  </mergeCells>
  <pageMargins left="0.70866141732283505" right="0.70866141732283505" top="1.1770833333333299" bottom="0.39370078740157499" header="0" footer="0"/>
  <pageSetup paperSize="9" orientation="landscape"/>
  <headerFooter>
    <oddHeader>&amp;C21</oddHeader>
    <firstHeader>&amp;C&amp;P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5"/>
  <sheetViews>
    <sheetView view="pageBreakPreview" topLeftCell="A159" zoomScaleNormal="30" zoomScalePageLayoutView="40" workbookViewId="0">
      <selection activeCell="B182" sqref="B182"/>
    </sheetView>
  </sheetViews>
  <sheetFormatPr defaultColWidth="9.33203125" defaultRowHeight="22.2" x14ac:dyDescent="0.45"/>
  <cols>
    <col min="1" max="1" width="10.109375" style="5" customWidth="1"/>
    <col min="2" max="2" width="88.6640625" style="74" customWidth="1"/>
    <col min="3" max="3" width="25.33203125" style="9" customWidth="1"/>
    <col min="4" max="4" width="24.44140625" style="9" customWidth="1"/>
    <col min="5" max="5" width="25.6640625" style="9" customWidth="1"/>
    <col min="6" max="6" width="25.33203125" style="9" customWidth="1"/>
    <col min="7" max="16384" width="9.33203125" style="5"/>
  </cols>
  <sheetData>
    <row r="1" spans="1:7" ht="27.75" hidden="1" customHeight="1" x14ac:dyDescent="0.45">
      <c r="F1" s="351" t="s">
        <v>150</v>
      </c>
      <c r="G1" s="351"/>
    </row>
    <row r="2" spans="1:7" ht="387" hidden="1" customHeight="1" x14ac:dyDescent="0.45">
      <c r="F2" s="351"/>
      <c r="G2" s="351"/>
    </row>
    <row r="3" spans="1:7" ht="51" hidden="1" customHeight="1" x14ac:dyDescent="0.45">
      <c r="F3" s="351"/>
      <c r="G3" s="351"/>
    </row>
    <row r="4" spans="1:7" ht="3" hidden="1" customHeight="1" x14ac:dyDescent="0.45">
      <c r="F4" s="351"/>
      <c r="G4" s="351"/>
    </row>
    <row r="5" spans="1:7" ht="18.75" hidden="1" customHeight="1" x14ac:dyDescent="0.45">
      <c r="F5" s="33"/>
      <c r="G5" s="32"/>
    </row>
    <row r="6" spans="1:7" ht="27" customHeight="1" x14ac:dyDescent="1.05">
      <c r="B6" s="75"/>
      <c r="C6" s="26"/>
      <c r="D6" s="26"/>
      <c r="E6" s="26"/>
      <c r="F6" s="76" t="s">
        <v>151</v>
      </c>
      <c r="G6" s="32"/>
    </row>
    <row r="7" spans="1:7" ht="20.100000000000001" customHeight="1" x14ac:dyDescent="1.05">
      <c r="B7" s="75"/>
      <c r="C7" s="26"/>
      <c r="D7" s="26"/>
      <c r="E7" s="26"/>
      <c r="F7" s="77"/>
      <c r="G7" s="32"/>
    </row>
    <row r="8" spans="1:7" s="1" customFormat="1" ht="25.5" customHeight="1" x14ac:dyDescent="0.45">
      <c r="A8" s="13"/>
      <c r="B8" s="78"/>
      <c r="C8" s="12"/>
      <c r="D8" s="12"/>
      <c r="E8" s="12"/>
      <c r="F8" s="12"/>
    </row>
    <row r="9" spans="1:7" ht="87" customHeight="1" x14ac:dyDescent="0.45">
      <c r="A9" s="19" t="s">
        <v>9</v>
      </c>
      <c r="B9" s="19" t="s">
        <v>152</v>
      </c>
      <c r="C9" s="28" t="s">
        <v>153</v>
      </c>
      <c r="D9" s="28" t="s">
        <v>154</v>
      </c>
      <c r="E9" s="28" t="s">
        <v>159</v>
      </c>
      <c r="F9" s="28" t="s">
        <v>160</v>
      </c>
    </row>
    <row r="10" spans="1:7" ht="32.25" customHeight="1" x14ac:dyDescent="0.4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</row>
    <row r="11" spans="1:7" ht="35.1" customHeight="1" x14ac:dyDescent="0.45">
      <c r="A11" s="19">
        <v>1</v>
      </c>
      <c r="B11" s="79" t="s">
        <v>161</v>
      </c>
      <c r="C11" s="19"/>
      <c r="D11" s="28">
        <v>3702831.57</v>
      </c>
      <c r="E11" s="28">
        <v>151890.07999999999</v>
      </c>
      <c r="F11" s="28">
        <f>SUM(D11+E11)</f>
        <v>3854721.65</v>
      </c>
    </row>
    <row r="12" spans="1:7" ht="35.1" customHeight="1" x14ac:dyDescent="0.45">
      <c r="A12" s="19">
        <v>2</v>
      </c>
      <c r="B12" s="79" t="s">
        <v>162</v>
      </c>
      <c r="C12" s="19"/>
      <c r="D12" s="28">
        <v>7405663.1399999997</v>
      </c>
      <c r="E12" s="28">
        <v>303780.15999999997</v>
      </c>
      <c r="F12" s="28">
        <f>SUM(D12+E12)</f>
        <v>7709443.2999999998</v>
      </c>
    </row>
    <row r="13" spans="1:7" ht="35.1" customHeight="1" x14ac:dyDescent="0.45">
      <c r="A13" s="19">
        <v>3</v>
      </c>
      <c r="B13" s="79" t="s">
        <v>163</v>
      </c>
      <c r="C13" s="19"/>
      <c r="D13" s="28">
        <v>1851415.78</v>
      </c>
      <c r="E13" s="28">
        <v>75945.039999999994</v>
      </c>
      <c r="F13" s="28">
        <f>SUM(D13+E13)</f>
        <v>1927360.82</v>
      </c>
    </row>
    <row r="14" spans="1:7" ht="35.1" customHeight="1" x14ac:dyDescent="0.45">
      <c r="A14" s="19">
        <v>4</v>
      </c>
      <c r="B14" s="79" t="s">
        <v>164</v>
      </c>
      <c r="C14" s="28">
        <v>4754302.4800000004</v>
      </c>
      <c r="D14" s="28">
        <v>7405663.1399999997</v>
      </c>
      <c r="E14" s="28">
        <v>551780.16</v>
      </c>
      <c r="F14" s="28">
        <f>SUM(C14+D14+E14)</f>
        <v>12711745.780000001</v>
      </c>
    </row>
    <row r="15" spans="1:7" ht="35.1" customHeight="1" x14ac:dyDescent="0.45">
      <c r="A15" s="19">
        <v>5</v>
      </c>
      <c r="B15" s="79" t="s">
        <v>165</v>
      </c>
      <c r="C15" s="28">
        <v>2377151.2400000002</v>
      </c>
      <c r="D15" s="28"/>
      <c r="E15" s="28">
        <v>124000</v>
      </c>
      <c r="F15" s="28">
        <f t="shared" ref="F15:F24" si="0">SUM(C15+E15)</f>
        <v>2501151.2400000002</v>
      </c>
    </row>
    <row r="16" spans="1:7" ht="35.1" customHeight="1" x14ac:dyDescent="0.45">
      <c r="A16" s="19">
        <v>6</v>
      </c>
      <c r="B16" s="79" t="s">
        <v>166</v>
      </c>
      <c r="C16" s="28">
        <v>2377151.2400000002</v>
      </c>
      <c r="D16" s="28"/>
      <c r="E16" s="28">
        <v>124000</v>
      </c>
      <c r="F16" s="28">
        <f t="shared" si="0"/>
        <v>2501151.2400000002</v>
      </c>
    </row>
    <row r="17" spans="1:6" ht="35.1" customHeight="1" x14ac:dyDescent="0.45">
      <c r="A17" s="19">
        <v>7</v>
      </c>
      <c r="B17" s="79" t="s">
        <v>167</v>
      </c>
      <c r="C17" s="28">
        <v>2377151.2400000002</v>
      </c>
      <c r="D17" s="28"/>
      <c r="E17" s="28">
        <v>124000</v>
      </c>
      <c r="F17" s="28">
        <f t="shared" si="0"/>
        <v>2501151.2400000002</v>
      </c>
    </row>
    <row r="18" spans="1:6" ht="35.1" customHeight="1" x14ac:dyDescent="0.45">
      <c r="A18" s="19">
        <v>8</v>
      </c>
      <c r="B18" s="79" t="s">
        <v>168</v>
      </c>
      <c r="C18" s="28">
        <v>2377151.2400000002</v>
      </c>
      <c r="D18" s="28"/>
      <c r="E18" s="28">
        <v>124000</v>
      </c>
      <c r="F18" s="28">
        <f t="shared" si="0"/>
        <v>2501151.2400000002</v>
      </c>
    </row>
    <row r="19" spans="1:6" ht="35.1" customHeight="1" x14ac:dyDescent="0.45">
      <c r="A19" s="19">
        <v>9</v>
      </c>
      <c r="B19" s="79" t="s">
        <v>169</v>
      </c>
      <c r="C19" s="28">
        <v>2377151.2400000002</v>
      </c>
      <c r="D19" s="28"/>
      <c r="E19" s="28">
        <v>124000</v>
      </c>
      <c r="F19" s="28">
        <f t="shared" si="0"/>
        <v>2501151.2400000002</v>
      </c>
    </row>
    <row r="20" spans="1:6" ht="35.1" customHeight="1" x14ac:dyDescent="0.45">
      <c r="A20" s="19">
        <v>10</v>
      </c>
      <c r="B20" s="79" t="s">
        <v>170</v>
      </c>
      <c r="C20" s="28">
        <v>2377151.2400000002</v>
      </c>
      <c r="D20" s="28"/>
      <c r="E20" s="28">
        <v>124000</v>
      </c>
      <c r="F20" s="28">
        <f t="shared" si="0"/>
        <v>2501151.2400000002</v>
      </c>
    </row>
    <row r="21" spans="1:6" ht="35.1" customHeight="1" x14ac:dyDescent="0.45">
      <c r="A21" s="19">
        <v>11</v>
      </c>
      <c r="B21" s="79" t="s">
        <v>171</v>
      </c>
      <c r="C21" s="28">
        <v>2377151.2400000002</v>
      </c>
      <c r="D21" s="28"/>
      <c r="E21" s="28">
        <v>124000</v>
      </c>
      <c r="F21" s="28">
        <f t="shared" si="0"/>
        <v>2501151.2400000002</v>
      </c>
    </row>
    <row r="22" spans="1:6" ht="35.1" customHeight="1" x14ac:dyDescent="0.45">
      <c r="A22" s="19">
        <v>12</v>
      </c>
      <c r="B22" s="79" t="s">
        <v>172</v>
      </c>
      <c r="C22" s="28">
        <v>2377151.2400000002</v>
      </c>
      <c r="D22" s="28"/>
      <c r="E22" s="28">
        <v>124000</v>
      </c>
      <c r="F22" s="28">
        <f t="shared" si="0"/>
        <v>2501151.2400000002</v>
      </c>
    </row>
    <row r="23" spans="1:6" ht="35.1" customHeight="1" x14ac:dyDescent="0.45">
      <c r="A23" s="19">
        <v>13</v>
      </c>
      <c r="B23" s="79" t="s">
        <v>173</v>
      </c>
      <c r="C23" s="28">
        <v>2377151.2400000002</v>
      </c>
      <c r="D23" s="28"/>
      <c r="E23" s="28">
        <v>124000</v>
      </c>
      <c r="F23" s="28">
        <f t="shared" si="0"/>
        <v>2501151.2400000002</v>
      </c>
    </row>
    <row r="24" spans="1:6" ht="35.1" customHeight="1" x14ac:dyDescent="0.45">
      <c r="A24" s="19">
        <v>14</v>
      </c>
      <c r="B24" s="79" t="s">
        <v>174</v>
      </c>
      <c r="C24" s="28">
        <v>2377151.2400000002</v>
      </c>
      <c r="D24" s="28"/>
      <c r="E24" s="28">
        <v>124000</v>
      </c>
      <c r="F24" s="28">
        <f t="shared" si="0"/>
        <v>2501151.2400000002</v>
      </c>
    </row>
    <row r="25" spans="1:6" ht="32.25" customHeight="1" x14ac:dyDescent="0.45">
      <c r="A25" s="17">
        <v>1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</row>
    <row r="26" spans="1:6" ht="35.1" customHeight="1" x14ac:dyDescent="0.45">
      <c r="A26" s="19">
        <v>15</v>
      </c>
      <c r="B26" s="79" t="s">
        <v>175</v>
      </c>
      <c r="C26" s="28">
        <v>2377151.2400000002</v>
      </c>
      <c r="D26" s="28"/>
      <c r="E26" s="28">
        <v>124000</v>
      </c>
      <c r="F26" s="28">
        <f t="shared" ref="F26:F43" si="1">SUM(C26+E26)</f>
        <v>2501151.2400000002</v>
      </c>
    </row>
    <row r="27" spans="1:6" ht="35.1" customHeight="1" x14ac:dyDescent="0.45">
      <c r="A27" s="19">
        <v>16</v>
      </c>
      <c r="B27" s="79" t="s">
        <v>176</v>
      </c>
      <c r="C27" s="28">
        <v>2377151.2400000002</v>
      </c>
      <c r="D27" s="28"/>
      <c r="E27" s="28">
        <v>124000</v>
      </c>
      <c r="F27" s="28">
        <f t="shared" si="1"/>
        <v>2501151.2400000002</v>
      </c>
    </row>
    <row r="28" spans="1:6" ht="35.1" customHeight="1" x14ac:dyDescent="0.45">
      <c r="A28" s="19">
        <v>17</v>
      </c>
      <c r="B28" s="79" t="s">
        <v>177</v>
      </c>
      <c r="C28" s="28">
        <v>2377151.2400000002</v>
      </c>
      <c r="D28" s="28"/>
      <c r="E28" s="28">
        <v>124000</v>
      </c>
      <c r="F28" s="28">
        <f t="shared" si="1"/>
        <v>2501151.2400000002</v>
      </c>
    </row>
    <row r="29" spans="1:6" ht="35.1" customHeight="1" x14ac:dyDescent="0.45">
      <c r="A29" s="19">
        <v>18</v>
      </c>
      <c r="B29" s="79" t="s">
        <v>178</v>
      </c>
      <c r="C29" s="28">
        <v>2377151.2400000002</v>
      </c>
      <c r="D29" s="28"/>
      <c r="E29" s="28">
        <v>124000</v>
      </c>
      <c r="F29" s="28">
        <f t="shared" si="1"/>
        <v>2501151.2400000002</v>
      </c>
    </row>
    <row r="30" spans="1:6" ht="35.1" customHeight="1" x14ac:dyDescent="0.45">
      <c r="A30" s="19">
        <v>19</v>
      </c>
      <c r="B30" s="79" t="s">
        <v>179</v>
      </c>
      <c r="C30" s="28">
        <v>2377151.2400000002</v>
      </c>
      <c r="D30" s="28"/>
      <c r="E30" s="28">
        <v>124000</v>
      </c>
      <c r="F30" s="28">
        <f t="shared" si="1"/>
        <v>2501151.2400000002</v>
      </c>
    </row>
    <row r="31" spans="1:6" ht="35.1" customHeight="1" x14ac:dyDescent="0.45">
      <c r="A31" s="19">
        <v>20</v>
      </c>
      <c r="B31" s="79" t="s">
        <v>180</v>
      </c>
      <c r="C31" s="28">
        <v>2377151.2400000002</v>
      </c>
      <c r="D31" s="28"/>
      <c r="E31" s="28">
        <v>124000</v>
      </c>
      <c r="F31" s="28">
        <f t="shared" si="1"/>
        <v>2501151.2400000002</v>
      </c>
    </row>
    <row r="32" spans="1:6" ht="35.1" customHeight="1" x14ac:dyDescent="0.45">
      <c r="A32" s="19">
        <v>21</v>
      </c>
      <c r="B32" s="79" t="s">
        <v>181</v>
      </c>
      <c r="C32" s="28">
        <v>2377151.2400000002</v>
      </c>
      <c r="D32" s="28"/>
      <c r="E32" s="28">
        <v>124000</v>
      </c>
      <c r="F32" s="28">
        <f t="shared" si="1"/>
        <v>2501151.2400000002</v>
      </c>
    </row>
    <row r="33" spans="1:6" ht="35.1" customHeight="1" x14ac:dyDescent="0.45">
      <c r="A33" s="19">
        <v>22</v>
      </c>
      <c r="B33" s="79" t="s">
        <v>182</v>
      </c>
      <c r="C33" s="28">
        <v>2377151.2400000002</v>
      </c>
      <c r="D33" s="28"/>
      <c r="E33" s="28">
        <v>124000</v>
      </c>
      <c r="F33" s="28">
        <f t="shared" si="1"/>
        <v>2501151.2400000002</v>
      </c>
    </row>
    <row r="34" spans="1:6" ht="35.1" customHeight="1" x14ac:dyDescent="0.45">
      <c r="A34" s="19">
        <v>23</v>
      </c>
      <c r="B34" s="79" t="s">
        <v>183</v>
      </c>
      <c r="C34" s="28">
        <v>2377151.2400000002</v>
      </c>
      <c r="D34" s="28"/>
      <c r="E34" s="28">
        <v>124000</v>
      </c>
      <c r="F34" s="28">
        <f t="shared" si="1"/>
        <v>2501151.2400000002</v>
      </c>
    </row>
    <row r="35" spans="1:6" ht="35.1" customHeight="1" x14ac:dyDescent="0.45">
      <c r="A35" s="19">
        <v>24</v>
      </c>
      <c r="B35" s="79" t="s">
        <v>184</v>
      </c>
      <c r="C35" s="28">
        <v>2377151.2400000002</v>
      </c>
      <c r="D35" s="28"/>
      <c r="E35" s="28">
        <v>124000</v>
      </c>
      <c r="F35" s="28">
        <f t="shared" si="1"/>
        <v>2501151.2400000002</v>
      </c>
    </row>
    <row r="36" spans="1:6" ht="35.1" customHeight="1" x14ac:dyDescent="0.45">
      <c r="A36" s="19">
        <v>25</v>
      </c>
      <c r="B36" s="79" t="s">
        <v>185</v>
      </c>
      <c r="C36" s="28">
        <v>2377151.2400000002</v>
      </c>
      <c r="D36" s="28"/>
      <c r="E36" s="28">
        <v>124000</v>
      </c>
      <c r="F36" s="28">
        <f t="shared" si="1"/>
        <v>2501151.2400000002</v>
      </c>
    </row>
    <row r="37" spans="1:6" ht="35.1" customHeight="1" x14ac:dyDescent="0.45">
      <c r="A37" s="19">
        <v>26</v>
      </c>
      <c r="B37" s="79" t="s">
        <v>187</v>
      </c>
      <c r="C37" s="28">
        <v>4754302.4800000004</v>
      </c>
      <c r="D37" s="28"/>
      <c r="E37" s="28">
        <v>248000</v>
      </c>
      <c r="F37" s="28">
        <f t="shared" si="1"/>
        <v>5002302.4800000004</v>
      </c>
    </row>
    <row r="38" spans="1:6" ht="35.1" customHeight="1" x14ac:dyDescent="0.45">
      <c r="A38" s="19">
        <v>27</v>
      </c>
      <c r="B38" s="79" t="s">
        <v>188</v>
      </c>
      <c r="C38" s="28">
        <v>2377151.2400000002</v>
      </c>
      <c r="D38" s="28"/>
      <c r="E38" s="28">
        <v>124000</v>
      </c>
      <c r="F38" s="28">
        <f t="shared" si="1"/>
        <v>2501151.2400000002</v>
      </c>
    </row>
    <row r="39" spans="1:6" ht="35.1" customHeight="1" x14ac:dyDescent="0.45">
      <c r="A39" s="19">
        <v>28</v>
      </c>
      <c r="B39" s="79" t="s">
        <v>189</v>
      </c>
      <c r="C39" s="28">
        <v>2377151.2400000002</v>
      </c>
      <c r="D39" s="28"/>
      <c r="E39" s="28">
        <v>124000</v>
      </c>
      <c r="F39" s="28">
        <f t="shared" si="1"/>
        <v>2501151.2400000002</v>
      </c>
    </row>
    <row r="40" spans="1:6" ht="35.1" customHeight="1" x14ac:dyDescent="0.45">
      <c r="A40" s="19">
        <v>29</v>
      </c>
      <c r="B40" s="79" t="s">
        <v>190</v>
      </c>
      <c r="C40" s="28">
        <v>4754302.4800000004</v>
      </c>
      <c r="D40" s="28"/>
      <c r="E40" s="28">
        <v>248000</v>
      </c>
      <c r="F40" s="28">
        <f t="shared" si="1"/>
        <v>5002302.4800000004</v>
      </c>
    </row>
    <row r="41" spans="1:6" ht="35.1" customHeight="1" x14ac:dyDescent="0.45">
      <c r="A41" s="19">
        <v>30</v>
      </c>
      <c r="B41" s="79" t="s">
        <v>191</v>
      </c>
      <c r="C41" s="28">
        <v>2377151.2400000002</v>
      </c>
      <c r="D41" s="28"/>
      <c r="E41" s="28">
        <v>124000</v>
      </c>
      <c r="F41" s="28">
        <f t="shared" si="1"/>
        <v>2501151.2400000002</v>
      </c>
    </row>
    <row r="42" spans="1:6" ht="35.1" customHeight="1" x14ac:dyDescent="0.45">
      <c r="A42" s="19">
        <v>31</v>
      </c>
      <c r="B42" s="79" t="s">
        <v>192</v>
      </c>
      <c r="C42" s="28">
        <v>2377151.2400000002</v>
      </c>
      <c r="D42" s="28"/>
      <c r="E42" s="28">
        <v>124000</v>
      </c>
      <c r="F42" s="28">
        <f t="shared" si="1"/>
        <v>2501151.2400000002</v>
      </c>
    </row>
    <row r="43" spans="1:6" ht="35.1" customHeight="1" x14ac:dyDescent="0.45">
      <c r="A43" s="19">
        <v>32</v>
      </c>
      <c r="B43" s="79" t="s">
        <v>193</v>
      </c>
      <c r="C43" s="28">
        <v>2377151.2400000002</v>
      </c>
      <c r="D43" s="28"/>
      <c r="E43" s="28">
        <v>124000</v>
      </c>
      <c r="F43" s="28">
        <f t="shared" si="1"/>
        <v>2501151.2400000002</v>
      </c>
    </row>
    <row r="44" spans="1:6" ht="32.25" customHeight="1" x14ac:dyDescent="0.45">
      <c r="A44" s="17">
        <v>1</v>
      </c>
      <c r="B44" s="17">
        <v>2</v>
      </c>
      <c r="C44" s="17">
        <v>3</v>
      </c>
      <c r="D44" s="17">
        <v>4</v>
      </c>
      <c r="E44" s="17">
        <v>5</v>
      </c>
      <c r="F44" s="17">
        <v>6</v>
      </c>
    </row>
    <row r="45" spans="1:6" ht="35.1" customHeight="1" x14ac:dyDescent="0.45">
      <c r="A45" s="19">
        <v>33</v>
      </c>
      <c r="B45" s="79" t="s">
        <v>194</v>
      </c>
      <c r="C45" s="28">
        <v>2377151.2400000002</v>
      </c>
      <c r="D45" s="28"/>
      <c r="E45" s="28">
        <v>884248.6</v>
      </c>
      <c r="F45" s="28">
        <f>SUM(C45:E45)</f>
        <v>3261399.8400000003</v>
      </c>
    </row>
    <row r="46" spans="1:6" ht="35.1" customHeight="1" x14ac:dyDescent="0.45">
      <c r="A46" s="19">
        <v>34</v>
      </c>
      <c r="B46" s="79" t="s">
        <v>195</v>
      </c>
      <c r="C46" s="28">
        <v>2377151.2400000002</v>
      </c>
      <c r="D46" s="28"/>
      <c r="E46" s="28">
        <v>124000</v>
      </c>
      <c r="F46" s="28">
        <f t="shared" ref="F46:F55" si="2">SUM(C46+E46)</f>
        <v>2501151.2400000002</v>
      </c>
    </row>
    <row r="47" spans="1:6" ht="35.1" customHeight="1" x14ac:dyDescent="0.45">
      <c r="A47" s="19">
        <v>35</v>
      </c>
      <c r="B47" s="79" t="s">
        <v>196</v>
      </c>
      <c r="C47" s="28">
        <v>2377151.2400000002</v>
      </c>
      <c r="D47" s="28"/>
      <c r="E47" s="28">
        <v>124000</v>
      </c>
      <c r="F47" s="28">
        <f t="shared" si="2"/>
        <v>2501151.2400000002</v>
      </c>
    </row>
    <row r="48" spans="1:6" ht="35.1" customHeight="1" x14ac:dyDescent="0.45">
      <c r="A48" s="19">
        <v>36</v>
      </c>
      <c r="B48" s="79" t="s">
        <v>197</v>
      </c>
      <c r="C48" s="28">
        <v>2377151.2400000002</v>
      </c>
      <c r="D48" s="28"/>
      <c r="E48" s="28">
        <v>124000</v>
      </c>
      <c r="F48" s="28">
        <f t="shared" si="2"/>
        <v>2501151.2400000002</v>
      </c>
    </row>
    <row r="49" spans="1:6" ht="35.1" customHeight="1" x14ac:dyDescent="0.45">
      <c r="A49" s="19">
        <v>37</v>
      </c>
      <c r="B49" s="79" t="s">
        <v>198</v>
      </c>
      <c r="C49" s="28">
        <v>2377151.2400000002</v>
      </c>
      <c r="D49" s="28"/>
      <c r="E49" s="28">
        <v>124000</v>
      </c>
      <c r="F49" s="28">
        <f t="shared" si="2"/>
        <v>2501151.2400000002</v>
      </c>
    </row>
    <row r="50" spans="1:6" ht="35.1" customHeight="1" x14ac:dyDescent="0.45">
      <c r="A50" s="19">
        <v>38</v>
      </c>
      <c r="B50" s="79" t="s">
        <v>199</v>
      </c>
      <c r="C50" s="28">
        <v>2377151.2400000002</v>
      </c>
      <c r="D50" s="28"/>
      <c r="E50" s="28">
        <v>124000</v>
      </c>
      <c r="F50" s="28">
        <f t="shared" si="2"/>
        <v>2501151.2400000002</v>
      </c>
    </row>
    <row r="51" spans="1:6" ht="35.1" customHeight="1" x14ac:dyDescent="0.45">
      <c r="A51" s="19">
        <v>39</v>
      </c>
      <c r="B51" s="79" t="s">
        <v>200</v>
      </c>
      <c r="C51" s="28">
        <v>2377151.2400000002</v>
      </c>
      <c r="D51" s="28"/>
      <c r="E51" s="28">
        <v>124000</v>
      </c>
      <c r="F51" s="28">
        <f t="shared" si="2"/>
        <v>2501151.2400000002</v>
      </c>
    </row>
    <row r="52" spans="1:6" ht="35.1" customHeight="1" x14ac:dyDescent="0.45">
      <c r="A52" s="19">
        <v>40</v>
      </c>
      <c r="B52" s="79" t="s">
        <v>201</v>
      </c>
      <c r="C52" s="28">
        <v>2377151.2400000002</v>
      </c>
      <c r="D52" s="28"/>
      <c r="E52" s="28">
        <v>124000</v>
      </c>
      <c r="F52" s="28">
        <f t="shared" si="2"/>
        <v>2501151.2400000002</v>
      </c>
    </row>
    <row r="53" spans="1:6" ht="35.1" customHeight="1" x14ac:dyDescent="0.45">
      <c r="A53" s="19">
        <v>41</v>
      </c>
      <c r="B53" s="79" t="s">
        <v>202</v>
      </c>
      <c r="C53" s="28">
        <v>2377151.2400000002</v>
      </c>
      <c r="D53" s="28"/>
      <c r="E53" s="28">
        <v>124000</v>
      </c>
      <c r="F53" s="28">
        <f t="shared" si="2"/>
        <v>2501151.2400000002</v>
      </c>
    </row>
    <row r="54" spans="1:6" ht="35.1" customHeight="1" x14ac:dyDescent="0.45">
      <c r="A54" s="19">
        <v>42</v>
      </c>
      <c r="B54" s="79" t="s">
        <v>203</v>
      </c>
      <c r="C54" s="28">
        <v>2377151.2400000002</v>
      </c>
      <c r="D54" s="28"/>
      <c r="E54" s="28">
        <v>124000</v>
      </c>
      <c r="F54" s="28">
        <f t="shared" si="2"/>
        <v>2501151.2400000002</v>
      </c>
    </row>
    <row r="55" spans="1:6" ht="35.1" customHeight="1" x14ac:dyDescent="0.45">
      <c r="A55" s="19">
        <v>43</v>
      </c>
      <c r="B55" s="79" t="s">
        <v>204</v>
      </c>
      <c r="C55" s="28">
        <v>2377151.2400000002</v>
      </c>
      <c r="D55" s="28"/>
      <c r="E55" s="28">
        <v>124000</v>
      </c>
      <c r="F55" s="28">
        <f t="shared" si="2"/>
        <v>2501151.2400000002</v>
      </c>
    </row>
    <row r="56" spans="1:6" ht="35.1" customHeight="1" x14ac:dyDescent="0.45">
      <c r="A56" s="19">
        <v>44</v>
      </c>
      <c r="B56" s="79" t="s">
        <v>205</v>
      </c>
      <c r="C56" s="28"/>
      <c r="D56" s="28">
        <v>5554247.3499999996</v>
      </c>
      <c r="E56" s="28">
        <v>227835.12</v>
      </c>
      <c r="F56" s="28">
        <f>SUM(D56+E56)</f>
        <v>5782082.4699999997</v>
      </c>
    </row>
    <row r="57" spans="1:6" ht="35.1" customHeight="1" x14ac:dyDescent="0.45">
      <c r="A57" s="19">
        <v>45</v>
      </c>
      <c r="B57" s="79" t="s">
        <v>206</v>
      </c>
      <c r="C57" s="28">
        <v>2377151.2400000002</v>
      </c>
      <c r="D57" s="28"/>
      <c r="E57" s="28">
        <v>124000</v>
      </c>
      <c r="F57" s="28">
        <f t="shared" ref="F57:F62" si="3">SUM(C57+E57)</f>
        <v>2501151.2400000002</v>
      </c>
    </row>
    <row r="58" spans="1:6" ht="35.1" customHeight="1" x14ac:dyDescent="0.45">
      <c r="A58" s="19">
        <v>46</v>
      </c>
      <c r="B58" s="79" t="s">
        <v>207</v>
      </c>
      <c r="C58" s="28">
        <v>2377151.2400000002</v>
      </c>
      <c r="D58" s="28"/>
      <c r="E58" s="28">
        <v>124000</v>
      </c>
      <c r="F58" s="28">
        <f t="shared" si="3"/>
        <v>2501151.2400000002</v>
      </c>
    </row>
    <row r="59" spans="1:6" ht="35.1" customHeight="1" x14ac:dyDescent="0.45">
      <c r="A59" s="19">
        <v>47</v>
      </c>
      <c r="B59" s="79" t="s">
        <v>208</v>
      </c>
      <c r="C59" s="28">
        <v>2377151.2400000002</v>
      </c>
      <c r="D59" s="28"/>
      <c r="E59" s="28">
        <v>124000</v>
      </c>
      <c r="F59" s="28">
        <f t="shared" si="3"/>
        <v>2501151.2400000002</v>
      </c>
    </row>
    <row r="60" spans="1:6" ht="35.1" customHeight="1" x14ac:dyDescent="0.45">
      <c r="A60" s="19">
        <v>48</v>
      </c>
      <c r="B60" s="79" t="s">
        <v>209</v>
      </c>
      <c r="C60" s="28">
        <v>2377151.2400000002</v>
      </c>
      <c r="D60" s="28"/>
      <c r="E60" s="28">
        <v>124000</v>
      </c>
      <c r="F60" s="28">
        <f t="shared" si="3"/>
        <v>2501151.2400000002</v>
      </c>
    </row>
    <row r="61" spans="1:6" ht="35.1" customHeight="1" x14ac:dyDescent="0.45">
      <c r="A61" s="19">
        <v>49</v>
      </c>
      <c r="B61" s="79" t="s">
        <v>210</v>
      </c>
      <c r="C61" s="28">
        <v>2377151.2400000002</v>
      </c>
      <c r="D61" s="28"/>
      <c r="E61" s="28">
        <v>124000</v>
      </c>
      <c r="F61" s="28">
        <f t="shared" si="3"/>
        <v>2501151.2400000002</v>
      </c>
    </row>
    <row r="62" spans="1:6" ht="35.1" customHeight="1" x14ac:dyDescent="0.45">
      <c r="A62" s="19">
        <v>50</v>
      </c>
      <c r="B62" s="79" t="s">
        <v>211</v>
      </c>
      <c r="C62" s="28">
        <v>2377151.2400000002</v>
      </c>
      <c r="D62" s="28"/>
      <c r="E62" s="28">
        <v>124000</v>
      </c>
      <c r="F62" s="28">
        <f t="shared" si="3"/>
        <v>2501151.2400000002</v>
      </c>
    </row>
    <row r="63" spans="1:6" ht="32.25" customHeight="1" x14ac:dyDescent="0.45">
      <c r="A63" s="17">
        <v>1</v>
      </c>
      <c r="B63" s="17">
        <v>2</v>
      </c>
      <c r="C63" s="17">
        <v>3</v>
      </c>
      <c r="D63" s="17">
        <v>4</v>
      </c>
      <c r="E63" s="17">
        <v>5</v>
      </c>
      <c r="F63" s="17">
        <v>6</v>
      </c>
    </row>
    <row r="64" spans="1:6" ht="35.1" customHeight="1" x14ac:dyDescent="0.45">
      <c r="A64" s="19">
        <v>51</v>
      </c>
      <c r="B64" s="79" t="s">
        <v>212</v>
      </c>
      <c r="C64" s="28">
        <v>2377151.2400000002</v>
      </c>
      <c r="D64" s="28"/>
      <c r="E64" s="28">
        <v>124000</v>
      </c>
      <c r="F64" s="28">
        <f>SUM(C64+E64)</f>
        <v>2501151.2400000002</v>
      </c>
    </row>
    <row r="65" spans="1:6" ht="35.1" customHeight="1" x14ac:dyDescent="0.45">
      <c r="A65" s="19">
        <v>52</v>
      </c>
      <c r="B65" s="79" t="s">
        <v>215</v>
      </c>
      <c r="C65" s="28"/>
      <c r="D65" s="28">
        <v>1851415.78</v>
      </c>
      <c r="E65" s="28">
        <v>75945.039999999994</v>
      </c>
      <c r="F65" s="28">
        <f>SUM(D65+E65)</f>
        <v>1927360.82</v>
      </c>
    </row>
    <row r="66" spans="1:6" ht="35.1" customHeight="1" x14ac:dyDescent="0.45">
      <c r="A66" s="19">
        <v>53</v>
      </c>
      <c r="B66" s="79" t="s">
        <v>216</v>
      </c>
      <c r="C66" s="28"/>
      <c r="D66" s="28">
        <v>3702831.57</v>
      </c>
      <c r="E66" s="28">
        <v>151890.07999999999</v>
      </c>
      <c r="F66" s="28">
        <f>SUM(D66+E66)</f>
        <v>3854721.65</v>
      </c>
    </row>
    <row r="67" spans="1:6" ht="35.1" customHeight="1" x14ac:dyDescent="0.45">
      <c r="A67" s="19">
        <v>54</v>
      </c>
      <c r="B67" s="79" t="s">
        <v>217</v>
      </c>
      <c r="C67" s="28"/>
      <c r="D67" s="28">
        <v>3702831.57</v>
      </c>
      <c r="E67" s="28">
        <v>151890.07999999999</v>
      </c>
      <c r="F67" s="28">
        <f>SUM(D67+E67)</f>
        <v>3854721.65</v>
      </c>
    </row>
    <row r="68" spans="1:6" ht="35.1" customHeight="1" x14ac:dyDescent="0.45">
      <c r="A68" s="19">
        <v>55</v>
      </c>
      <c r="B68" s="79" t="s">
        <v>218</v>
      </c>
      <c r="C68" s="28">
        <v>2377151.2400000002</v>
      </c>
      <c r="D68" s="28"/>
      <c r="E68" s="28">
        <v>124000</v>
      </c>
      <c r="F68" s="28">
        <f t="shared" ref="F68:F81" si="4">SUM(C68+E68)</f>
        <v>2501151.2400000002</v>
      </c>
    </row>
    <row r="69" spans="1:6" ht="35.1" customHeight="1" x14ac:dyDescent="0.45">
      <c r="A69" s="19">
        <v>56</v>
      </c>
      <c r="B69" s="79" t="s">
        <v>219</v>
      </c>
      <c r="C69" s="28">
        <v>2377151.2400000002</v>
      </c>
      <c r="D69" s="28"/>
      <c r="E69" s="28">
        <v>124000</v>
      </c>
      <c r="F69" s="28">
        <f t="shared" si="4"/>
        <v>2501151.2400000002</v>
      </c>
    </row>
    <row r="70" spans="1:6" ht="35.1" customHeight="1" x14ac:dyDescent="0.45">
      <c r="A70" s="19">
        <v>57</v>
      </c>
      <c r="B70" s="79" t="s">
        <v>220</v>
      </c>
      <c r="C70" s="28">
        <v>4754302.4800000004</v>
      </c>
      <c r="D70" s="28"/>
      <c r="E70" s="28">
        <v>248000</v>
      </c>
      <c r="F70" s="28">
        <f t="shared" si="4"/>
        <v>5002302.4800000004</v>
      </c>
    </row>
    <row r="71" spans="1:6" ht="35.1" customHeight="1" x14ac:dyDescent="0.45">
      <c r="A71" s="19">
        <v>58</v>
      </c>
      <c r="B71" s="79" t="s">
        <v>221</v>
      </c>
      <c r="C71" s="28">
        <v>2377151.2400000002</v>
      </c>
      <c r="D71" s="28"/>
      <c r="E71" s="28">
        <v>124000</v>
      </c>
      <c r="F71" s="28">
        <f t="shared" si="4"/>
        <v>2501151.2400000002</v>
      </c>
    </row>
    <row r="72" spans="1:6" ht="35.1" customHeight="1" x14ac:dyDescent="0.45">
      <c r="A72" s="19">
        <v>59</v>
      </c>
      <c r="B72" s="79" t="s">
        <v>222</v>
      </c>
      <c r="C72" s="28">
        <v>2377151.2400000002</v>
      </c>
      <c r="D72" s="28"/>
      <c r="E72" s="28">
        <v>124000</v>
      </c>
      <c r="F72" s="28">
        <f t="shared" si="4"/>
        <v>2501151.2400000002</v>
      </c>
    </row>
    <row r="73" spans="1:6" ht="35.1" customHeight="1" x14ac:dyDescent="0.45">
      <c r="A73" s="19">
        <v>60</v>
      </c>
      <c r="B73" s="79" t="s">
        <v>223</v>
      </c>
      <c r="C73" s="28">
        <v>2377151.2400000002</v>
      </c>
      <c r="D73" s="28"/>
      <c r="E73" s="28">
        <v>124000</v>
      </c>
      <c r="F73" s="28">
        <f t="shared" si="4"/>
        <v>2501151.2400000002</v>
      </c>
    </row>
    <row r="74" spans="1:6" ht="35.1" customHeight="1" x14ac:dyDescent="0.45">
      <c r="A74" s="19">
        <v>61</v>
      </c>
      <c r="B74" s="79" t="s">
        <v>224</v>
      </c>
      <c r="C74" s="28">
        <v>2377151.2400000002</v>
      </c>
      <c r="D74" s="28"/>
      <c r="E74" s="28">
        <v>124000</v>
      </c>
      <c r="F74" s="28">
        <f t="shared" si="4"/>
        <v>2501151.2400000002</v>
      </c>
    </row>
    <row r="75" spans="1:6" ht="35.1" customHeight="1" x14ac:dyDescent="0.45">
      <c r="A75" s="19">
        <v>62</v>
      </c>
      <c r="B75" s="79" t="s">
        <v>225</v>
      </c>
      <c r="C75" s="28">
        <v>2377151.2400000002</v>
      </c>
      <c r="D75" s="28"/>
      <c r="E75" s="28">
        <v>124000</v>
      </c>
      <c r="F75" s="28">
        <f t="shared" si="4"/>
        <v>2501151.2400000002</v>
      </c>
    </row>
    <row r="76" spans="1:6" ht="35.1" customHeight="1" x14ac:dyDescent="0.45">
      <c r="A76" s="19">
        <v>63</v>
      </c>
      <c r="B76" s="79" t="s">
        <v>226</v>
      </c>
      <c r="C76" s="28">
        <v>2377151.2400000002</v>
      </c>
      <c r="D76" s="28"/>
      <c r="E76" s="28">
        <v>124000</v>
      </c>
      <c r="F76" s="28">
        <f t="shared" si="4"/>
        <v>2501151.2400000002</v>
      </c>
    </row>
    <row r="77" spans="1:6" ht="35.1" customHeight="1" x14ac:dyDescent="0.45">
      <c r="A77" s="19">
        <v>64</v>
      </c>
      <c r="B77" s="79" t="s">
        <v>227</v>
      </c>
      <c r="C77" s="28">
        <v>2377151.2400000002</v>
      </c>
      <c r="D77" s="28"/>
      <c r="E77" s="28">
        <v>124000</v>
      </c>
      <c r="F77" s="28">
        <f t="shared" si="4"/>
        <v>2501151.2400000002</v>
      </c>
    </row>
    <row r="78" spans="1:6" ht="35.1" customHeight="1" x14ac:dyDescent="0.45">
      <c r="A78" s="19">
        <v>65</v>
      </c>
      <c r="B78" s="79" t="s">
        <v>228</v>
      </c>
      <c r="C78" s="28">
        <v>2377151.2400000002</v>
      </c>
      <c r="D78" s="28"/>
      <c r="E78" s="28">
        <v>124000</v>
      </c>
      <c r="F78" s="28">
        <f t="shared" si="4"/>
        <v>2501151.2400000002</v>
      </c>
    </row>
    <row r="79" spans="1:6" ht="35.1" customHeight="1" x14ac:dyDescent="0.45">
      <c r="A79" s="19">
        <v>66</v>
      </c>
      <c r="B79" s="79" t="s">
        <v>229</v>
      </c>
      <c r="C79" s="28">
        <v>2377151.2400000002</v>
      </c>
      <c r="D79" s="28"/>
      <c r="E79" s="28">
        <v>124000</v>
      </c>
      <c r="F79" s="28">
        <f t="shared" si="4"/>
        <v>2501151.2400000002</v>
      </c>
    </row>
    <row r="80" spans="1:6" ht="35.1" customHeight="1" x14ac:dyDescent="0.45">
      <c r="A80" s="19">
        <v>67</v>
      </c>
      <c r="B80" s="79" t="s">
        <v>230</v>
      </c>
      <c r="C80" s="28">
        <v>2377151.2400000002</v>
      </c>
      <c r="D80" s="28"/>
      <c r="E80" s="28">
        <v>124000</v>
      </c>
      <c r="F80" s="28">
        <f t="shared" si="4"/>
        <v>2501151.2400000002</v>
      </c>
    </row>
    <row r="81" spans="1:6" ht="35.1" customHeight="1" x14ac:dyDescent="0.45">
      <c r="A81" s="19">
        <v>68</v>
      </c>
      <c r="B81" s="79" t="s">
        <v>231</v>
      </c>
      <c r="C81" s="28">
        <v>4754302.4800000004</v>
      </c>
      <c r="D81" s="28"/>
      <c r="E81" s="28">
        <v>248000</v>
      </c>
      <c r="F81" s="28">
        <f t="shared" si="4"/>
        <v>5002302.4800000004</v>
      </c>
    </row>
    <row r="82" spans="1:6" ht="32.25" customHeight="1" x14ac:dyDescent="0.45">
      <c r="A82" s="17">
        <v>1</v>
      </c>
      <c r="B82" s="17">
        <v>2</v>
      </c>
      <c r="C82" s="17">
        <v>3</v>
      </c>
      <c r="D82" s="17">
        <v>4</v>
      </c>
      <c r="E82" s="17">
        <v>5</v>
      </c>
      <c r="F82" s="17">
        <v>6</v>
      </c>
    </row>
    <row r="83" spans="1:6" ht="35.1" customHeight="1" x14ac:dyDescent="0.45">
      <c r="A83" s="19">
        <v>69</v>
      </c>
      <c r="B83" s="79" t="s">
        <v>232</v>
      </c>
      <c r="C83" s="28">
        <v>7131453.7199999997</v>
      </c>
      <c r="D83" s="28"/>
      <c r="E83" s="28">
        <v>372000</v>
      </c>
      <c r="F83" s="28">
        <f>SUM(C83+E83)</f>
        <v>7503453.7199999997</v>
      </c>
    </row>
    <row r="84" spans="1:6" ht="35.1" customHeight="1" x14ac:dyDescent="0.45">
      <c r="A84" s="19">
        <v>70</v>
      </c>
      <c r="B84" s="79" t="s">
        <v>233</v>
      </c>
      <c r="C84" s="28"/>
      <c r="D84" s="28">
        <v>1851415.78</v>
      </c>
      <c r="E84" s="28">
        <v>75945.039999999994</v>
      </c>
      <c r="F84" s="28">
        <f t="shared" ref="F84:F97" si="5">SUM(D84+E84)</f>
        <v>1927360.82</v>
      </c>
    </row>
    <row r="85" spans="1:6" ht="35.1" customHeight="1" x14ac:dyDescent="0.45">
      <c r="A85" s="19">
        <v>71</v>
      </c>
      <c r="B85" s="79" t="s">
        <v>234</v>
      </c>
      <c r="C85" s="28"/>
      <c r="D85" s="28">
        <v>3702831.57</v>
      </c>
      <c r="E85" s="28">
        <v>151890.07999999999</v>
      </c>
      <c r="F85" s="28">
        <f t="shared" si="5"/>
        <v>3854721.65</v>
      </c>
    </row>
    <row r="86" spans="1:6" ht="35.1" customHeight="1" x14ac:dyDescent="0.45">
      <c r="A86" s="19">
        <v>72</v>
      </c>
      <c r="B86" s="79" t="s">
        <v>235</v>
      </c>
      <c r="C86" s="28"/>
      <c r="D86" s="28">
        <v>7405663.1399999997</v>
      </c>
      <c r="E86" s="28">
        <v>303780.15999999997</v>
      </c>
      <c r="F86" s="28">
        <f t="shared" si="5"/>
        <v>7709443.2999999998</v>
      </c>
    </row>
    <row r="87" spans="1:6" ht="35.1" customHeight="1" x14ac:dyDescent="0.45">
      <c r="A87" s="19">
        <v>73</v>
      </c>
      <c r="B87" s="79" t="s">
        <v>236</v>
      </c>
      <c r="C87" s="28"/>
      <c r="D87" s="28">
        <v>1851415.78</v>
      </c>
      <c r="E87" s="28">
        <v>75945.039999999994</v>
      </c>
      <c r="F87" s="28">
        <f t="shared" si="5"/>
        <v>1927360.82</v>
      </c>
    </row>
    <row r="88" spans="1:6" ht="35.1" customHeight="1" x14ac:dyDescent="0.45">
      <c r="A88" s="19">
        <v>74</v>
      </c>
      <c r="B88" s="79" t="s">
        <v>237</v>
      </c>
      <c r="C88" s="28"/>
      <c r="D88" s="28">
        <v>1851415.78</v>
      </c>
      <c r="E88" s="28">
        <v>75945.039999999994</v>
      </c>
      <c r="F88" s="28">
        <f t="shared" si="5"/>
        <v>1927360.82</v>
      </c>
    </row>
    <row r="89" spans="1:6" ht="35.1" customHeight="1" x14ac:dyDescent="0.45">
      <c r="A89" s="19">
        <v>75</v>
      </c>
      <c r="B89" s="79" t="s">
        <v>238</v>
      </c>
      <c r="C89" s="28"/>
      <c r="D89" s="28">
        <v>3702831.57</v>
      </c>
      <c r="E89" s="28">
        <v>151890.07999999999</v>
      </c>
      <c r="F89" s="28">
        <f t="shared" si="5"/>
        <v>3854721.65</v>
      </c>
    </row>
    <row r="90" spans="1:6" ht="35.1" customHeight="1" x14ac:dyDescent="0.45">
      <c r="A90" s="19">
        <v>76</v>
      </c>
      <c r="B90" s="79" t="s">
        <v>239</v>
      </c>
      <c r="C90" s="28"/>
      <c r="D90" s="28">
        <v>1851415.78</v>
      </c>
      <c r="E90" s="28">
        <v>75945.039999999994</v>
      </c>
      <c r="F90" s="28">
        <f t="shared" si="5"/>
        <v>1927360.82</v>
      </c>
    </row>
    <row r="91" spans="1:6" ht="35.1" customHeight="1" x14ac:dyDescent="0.45">
      <c r="A91" s="19">
        <v>77</v>
      </c>
      <c r="B91" s="79" t="s">
        <v>240</v>
      </c>
      <c r="C91" s="28"/>
      <c r="D91" s="28">
        <v>1851415.78</v>
      </c>
      <c r="E91" s="28">
        <v>75945.039999999994</v>
      </c>
      <c r="F91" s="28">
        <f t="shared" si="5"/>
        <v>1927360.82</v>
      </c>
    </row>
    <row r="92" spans="1:6" ht="35.1" customHeight="1" x14ac:dyDescent="0.45">
      <c r="A92" s="19">
        <v>78</v>
      </c>
      <c r="B92" s="79" t="s">
        <v>241</v>
      </c>
      <c r="C92" s="28"/>
      <c r="D92" s="28">
        <v>3702831.57</v>
      </c>
      <c r="E92" s="28">
        <v>151890.07999999999</v>
      </c>
      <c r="F92" s="28">
        <f t="shared" si="5"/>
        <v>3854721.65</v>
      </c>
    </row>
    <row r="93" spans="1:6" ht="35.1" customHeight="1" x14ac:dyDescent="0.45">
      <c r="A93" s="19">
        <v>79</v>
      </c>
      <c r="B93" s="79" t="s">
        <v>242</v>
      </c>
      <c r="C93" s="28"/>
      <c r="D93" s="28">
        <v>7405663.1399999997</v>
      </c>
      <c r="E93" s="28">
        <v>303780.15999999997</v>
      </c>
      <c r="F93" s="28">
        <f t="shared" si="5"/>
        <v>7709443.2999999998</v>
      </c>
    </row>
    <row r="94" spans="1:6" ht="35.1" customHeight="1" x14ac:dyDescent="0.45">
      <c r="A94" s="19">
        <v>80</v>
      </c>
      <c r="B94" s="79" t="s">
        <v>243</v>
      </c>
      <c r="C94" s="28"/>
      <c r="D94" s="28">
        <v>1851415.78</v>
      </c>
      <c r="E94" s="28">
        <v>75945.039999999994</v>
      </c>
      <c r="F94" s="28">
        <f t="shared" si="5"/>
        <v>1927360.82</v>
      </c>
    </row>
    <row r="95" spans="1:6" ht="35.1" customHeight="1" x14ac:dyDescent="0.45">
      <c r="A95" s="19">
        <v>81</v>
      </c>
      <c r="B95" s="79" t="s">
        <v>244</v>
      </c>
      <c r="C95" s="28"/>
      <c r="D95" s="28">
        <v>7405663.1399999997</v>
      </c>
      <c r="E95" s="28">
        <v>303780.15999999997</v>
      </c>
      <c r="F95" s="28">
        <f t="shared" si="5"/>
        <v>7709443.2999999998</v>
      </c>
    </row>
    <row r="96" spans="1:6" ht="35.1" customHeight="1" x14ac:dyDescent="0.45">
      <c r="A96" s="19">
        <v>82</v>
      </c>
      <c r="B96" s="79" t="s">
        <v>245</v>
      </c>
      <c r="C96" s="28"/>
      <c r="D96" s="28">
        <v>1851415.78</v>
      </c>
      <c r="E96" s="28">
        <v>75945.039999999994</v>
      </c>
      <c r="F96" s="28">
        <f t="shared" si="5"/>
        <v>1927360.82</v>
      </c>
    </row>
    <row r="97" spans="1:6" ht="35.1" customHeight="1" x14ac:dyDescent="0.45">
      <c r="A97" s="19">
        <v>83</v>
      </c>
      <c r="B97" s="79" t="s">
        <v>246</v>
      </c>
      <c r="C97" s="28"/>
      <c r="D97" s="28">
        <v>3702831.57</v>
      </c>
      <c r="E97" s="28">
        <v>151890.07999999999</v>
      </c>
      <c r="F97" s="28">
        <f t="shared" si="5"/>
        <v>3854721.65</v>
      </c>
    </row>
    <row r="98" spans="1:6" ht="35.1" customHeight="1" x14ac:dyDescent="0.45">
      <c r="A98" s="19">
        <v>84</v>
      </c>
      <c r="B98" s="79" t="s">
        <v>247</v>
      </c>
      <c r="C98" s="28">
        <v>2377151.2400000002</v>
      </c>
      <c r="D98" s="28"/>
      <c r="E98" s="28">
        <v>124000</v>
      </c>
      <c r="F98" s="28">
        <f>SUM(C98+E98)</f>
        <v>2501151.2400000002</v>
      </c>
    </row>
    <row r="99" spans="1:6" ht="35.1" customHeight="1" x14ac:dyDescent="0.45">
      <c r="A99" s="19">
        <v>85</v>
      </c>
      <c r="B99" s="79" t="s">
        <v>248</v>
      </c>
      <c r="C99" s="28">
        <v>2377151.2400000002</v>
      </c>
      <c r="D99" s="28"/>
      <c r="E99" s="28">
        <v>124000</v>
      </c>
      <c r="F99" s="28">
        <f>SUM(C99+E99)</f>
        <v>2501151.2400000002</v>
      </c>
    </row>
    <row r="100" spans="1:6" ht="35.1" customHeight="1" x14ac:dyDescent="0.45">
      <c r="A100" s="19">
        <v>86</v>
      </c>
      <c r="B100" s="79" t="s">
        <v>249</v>
      </c>
      <c r="C100" s="28">
        <v>2377151.2400000002</v>
      </c>
      <c r="D100" s="28"/>
      <c r="E100" s="28">
        <v>124000</v>
      </c>
      <c r="F100" s="28">
        <f>SUM(C100+E100)</f>
        <v>2501151.2400000002</v>
      </c>
    </row>
    <row r="101" spans="1:6" ht="32.25" customHeight="1" x14ac:dyDescent="0.45">
      <c r="A101" s="17">
        <v>1</v>
      </c>
      <c r="B101" s="17">
        <v>2</v>
      </c>
      <c r="C101" s="17">
        <v>3</v>
      </c>
      <c r="D101" s="17">
        <v>4</v>
      </c>
      <c r="E101" s="17">
        <v>5</v>
      </c>
      <c r="F101" s="17">
        <v>6</v>
      </c>
    </row>
    <row r="102" spans="1:6" ht="35.1" customHeight="1" x14ac:dyDescent="0.45">
      <c r="A102" s="19">
        <v>87</v>
      </c>
      <c r="B102" s="79" t="s">
        <v>250</v>
      </c>
      <c r="C102" s="28"/>
      <c r="D102" s="28">
        <v>5554247.3499999996</v>
      </c>
      <c r="E102" s="28">
        <v>227835.12</v>
      </c>
      <c r="F102" s="28">
        <f t="shared" ref="F102:F119" si="6">SUM(D102+E102)</f>
        <v>5782082.4699999997</v>
      </c>
    </row>
    <row r="103" spans="1:6" ht="35.1" customHeight="1" x14ac:dyDescent="0.45">
      <c r="A103" s="19">
        <v>88</v>
      </c>
      <c r="B103" s="79" t="s">
        <v>251</v>
      </c>
      <c r="C103" s="28"/>
      <c r="D103" s="28">
        <v>7405663.1399999997</v>
      </c>
      <c r="E103" s="28">
        <v>303780.15999999997</v>
      </c>
      <c r="F103" s="28">
        <f t="shared" si="6"/>
        <v>7709443.2999999998</v>
      </c>
    </row>
    <row r="104" spans="1:6" ht="35.1" customHeight="1" x14ac:dyDescent="0.45">
      <c r="A104" s="19">
        <v>89</v>
      </c>
      <c r="B104" s="79" t="s">
        <v>252</v>
      </c>
      <c r="C104" s="28"/>
      <c r="D104" s="28">
        <v>1851415.78</v>
      </c>
      <c r="E104" s="28">
        <v>75945.039999999994</v>
      </c>
      <c r="F104" s="28">
        <f t="shared" si="6"/>
        <v>1927360.82</v>
      </c>
    </row>
    <row r="105" spans="1:6" ht="35.1" customHeight="1" x14ac:dyDescent="0.45">
      <c r="A105" s="19">
        <v>90</v>
      </c>
      <c r="B105" s="79" t="s">
        <v>253</v>
      </c>
      <c r="C105" s="28"/>
      <c r="D105" s="28">
        <v>1851415.78</v>
      </c>
      <c r="E105" s="28">
        <v>75945.039999999994</v>
      </c>
      <c r="F105" s="28">
        <f t="shared" si="6"/>
        <v>1927360.82</v>
      </c>
    </row>
    <row r="106" spans="1:6" ht="35.1" customHeight="1" x14ac:dyDescent="0.45">
      <c r="A106" s="19">
        <v>91</v>
      </c>
      <c r="B106" s="79" t="s">
        <v>254</v>
      </c>
      <c r="C106" s="28"/>
      <c r="D106" s="28">
        <v>3702831.57</v>
      </c>
      <c r="E106" s="28">
        <v>151890.07999999999</v>
      </c>
      <c r="F106" s="28">
        <f t="shared" si="6"/>
        <v>3854721.65</v>
      </c>
    </row>
    <row r="107" spans="1:6" ht="35.1" customHeight="1" x14ac:dyDescent="0.45">
      <c r="A107" s="19">
        <v>92</v>
      </c>
      <c r="B107" s="79" t="s">
        <v>255</v>
      </c>
      <c r="C107" s="28"/>
      <c r="D107" s="28">
        <v>1851415.78</v>
      </c>
      <c r="E107" s="28">
        <v>75945.039999999994</v>
      </c>
      <c r="F107" s="28">
        <f t="shared" si="6"/>
        <v>1927360.82</v>
      </c>
    </row>
    <row r="108" spans="1:6" ht="35.1" customHeight="1" x14ac:dyDescent="0.45">
      <c r="A108" s="19">
        <v>93</v>
      </c>
      <c r="B108" s="79" t="s">
        <v>256</v>
      </c>
      <c r="C108" s="28"/>
      <c r="D108" s="28">
        <v>3702831.57</v>
      </c>
      <c r="E108" s="28">
        <v>151890.07999999999</v>
      </c>
      <c r="F108" s="28">
        <f t="shared" si="6"/>
        <v>3854721.65</v>
      </c>
    </row>
    <row r="109" spans="1:6" ht="35.1" customHeight="1" x14ac:dyDescent="0.45">
      <c r="A109" s="19">
        <v>94</v>
      </c>
      <c r="B109" s="79" t="s">
        <v>257</v>
      </c>
      <c r="C109" s="28"/>
      <c r="D109" s="28">
        <v>7405663.1399999997</v>
      </c>
      <c r="E109" s="28">
        <v>303780.15999999997</v>
      </c>
      <c r="F109" s="28">
        <f t="shared" si="6"/>
        <v>7709443.2999999998</v>
      </c>
    </row>
    <row r="110" spans="1:6" ht="35.1" customHeight="1" x14ac:dyDescent="0.45">
      <c r="A110" s="19">
        <v>95</v>
      </c>
      <c r="B110" s="79" t="s">
        <v>258</v>
      </c>
      <c r="C110" s="28"/>
      <c r="D110" s="28">
        <v>7405663.1399999997</v>
      </c>
      <c r="E110" s="28">
        <v>303780.15999999997</v>
      </c>
      <c r="F110" s="28">
        <f t="shared" si="6"/>
        <v>7709443.2999999998</v>
      </c>
    </row>
    <row r="111" spans="1:6" ht="35.1" customHeight="1" x14ac:dyDescent="0.45">
      <c r="A111" s="19">
        <v>96</v>
      </c>
      <c r="B111" s="79" t="s">
        <v>259</v>
      </c>
      <c r="C111" s="28"/>
      <c r="D111" s="28">
        <v>3702831.57</v>
      </c>
      <c r="E111" s="28">
        <v>151890.07999999999</v>
      </c>
      <c r="F111" s="28">
        <f t="shared" si="6"/>
        <v>3854721.65</v>
      </c>
    </row>
    <row r="112" spans="1:6" ht="35.1" customHeight="1" x14ac:dyDescent="0.45">
      <c r="A112" s="19">
        <v>97</v>
      </c>
      <c r="B112" s="79" t="s">
        <v>260</v>
      </c>
      <c r="C112" s="28"/>
      <c r="D112" s="28">
        <v>7405663.1399999997</v>
      </c>
      <c r="E112" s="28">
        <v>303780.15999999997</v>
      </c>
      <c r="F112" s="28">
        <f t="shared" si="6"/>
        <v>7709443.2999999998</v>
      </c>
    </row>
    <row r="113" spans="1:6" ht="35.1" customHeight="1" x14ac:dyDescent="0.45">
      <c r="A113" s="19">
        <v>98</v>
      </c>
      <c r="B113" s="79" t="s">
        <v>261</v>
      </c>
      <c r="C113" s="28"/>
      <c r="D113" s="28">
        <v>5554247.3499999996</v>
      </c>
      <c r="E113" s="28">
        <v>227835.12</v>
      </c>
      <c r="F113" s="28">
        <f t="shared" si="6"/>
        <v>5782082.4699999997</v>
      </c>
    </row>
    <row r="114" spans="1:6" ht="35.1" customHeight="1" x14ac:dyDescent="0.45">
      <c r="A114" s="19">
        <v>99</v>
      </c>
      <c r="B114" s="79" t="s">
        <v>262</v>
      </c>
      <c r="C114" s="28"/>
      <c r="D114" s="28">
        <v>3702831.57</v>
      </c>
      <c r="E114" s="28">
        <v>151890.07999999999</v>
      </c>
      <c r="F114" s="28">
        <f t="shared" si="6"/>
        <v>3854721.65</v>
      </c>
    </row>
    <row r="115" spans="1:6" ht="35.1" customHeight="1" x14ac:dyDescent="0.45">
      <c r="A115" s="19">
        <v>100</v>
      </c>
      <c r="B115" s="79" t="s">
        <v>263</v>
      </c>
      <c r="C115" s="28"/>
      <c r="D115" s="28">
        <v>1851415.78</v>
      </c>
      <c r="E115" s="28">
        <v>75945.039999999994</v>
      </c>
      <c r="F115" s="28">
        <f t="shared" si="6"/>
        <v>1927360.82</v>
      </c>
    </row>
    <row r="116" spans="1:6" ht="35.1" customHeight="1" x14ac:dyDescent="0.45">
      <c r="A116" s="19">
        <v>101</v>
      </c>
      <c r="B116" s="79" t="s">
        <v>264</v>
      </c>
      <c r="C116" s="28"/>
      <c r="D116" s="28">
        <v>1851415.78</v>
      </c>
      <c r="E116" s="28">
        <v>75945.039999999994</v>
      </c>
      <c r="F116" s="28">
        <f t="shared" si="6"/>
        <v>1927360.82</v>
      </c>
    </row>
    <row r="117" spans="1:6" ht="35.1" customHeight="1" x14ac:dyDescent="0.45">
      <c r="A117" s="19">
        <v>102</v>
      </c>
      <c r="B117" s="79" t="s">
        <v>265</v>
      </c>
      <c r="C117" s="28"/>
      <c r="D117" s="28">
        <v>3702831.57</v>
      </c>
      <c r="E117" s="28">
        <v>151890.07999999999</v>
      </c>
      <c r="F117" s="28">
        <f t="shared" si="6"/>
        <v>3854721.65</v>
      </c>
    </row>
    <row r="118" spans="1:6" ht="35.1" customHeight="1" x14ac:dyDescent="0.45">
      <c r="A118" s="19">
        <v>103</v>
      </c>
      <c r="B118" s="79" t="s">
        <v>266</v>
      </c>
      <c r="C118" s="28"/>
      <c r="D118" s="28">
        <v>3702831.57</v>
      </c>
      <c r="E118" s="28">
        <v>151890.07999999999</v>
      </c>
      <c r="F118" s="28">
        <f t="shared" si="6"/>
        <v>3854721.65</v>
      </c>
    </row>
    <row r="119" spans="1:6" ht="35.1" customHeight="1" x14ac:dyDescent="0.45">
      <c r="A119" s="19">
        <v>104</v>
      </c>
      <c r="B119" s="79" t="s">
        <v>267</v>
      </c>
      <c r="C119" s="28"/>
      <c r="D119" s="28">
        <v>11108494.710000001</v>
      </c>
      <c r="E119" s="28">
        <v>455670.24</v>
      </c>
      <c r="F119" s="28">
        <f t="shared" si="6"/>
        <v>11564164.950000001</v>
      </c>
    </row>
    <row r="120" spans="1:6" ht="32.25" customHeight="1" x14ac:dyDescent="0.45">
      <c r="A120" s="17">
        <v>1</v>
      </c>
      <c r="B120" s="17">
        <v>2</v>
      </c>
      <c r="C120" s="17">
        <v>3</v>
      </c>
      <c r="D120" s="17">
        <v>4</v>
      </c>
      <c r="E120" s="17">
        <v>5</v>
      </c>
      <c r="F120" s="17">
        <v>6</v>
      </c>
    </row>
    <row r="121" spans="1:6" ht="35.1" customHeight="1" x14ac:dyDescent="0.45">
      <c r="A121" s="19">
        <v>105</v>
      </c>
      <c r="B121" s="79" t="s">
        <v>281</v>
      </c>
      <c r="C121" s="28">
        <v>4754302.4800000004</v>
      </c>
      <c r="D121" s="28"/>
      <c r="E121" s="28">
        <v>248000</v>
      </c>
      <c r="F121" s="28">
        <f>SUM(C121+E121)</f>
        <v>5002302.4800000004</v>
      </c>
    </row>
    <row r="122" spans="1:6" ht="35.1" customHeight="1" x14ac:dyDescent="0.45">
      <c r="A122" s="19">
        <v>106</v>
      </c>
      <c r="B122" s="79" t="s">
        <v>282</v>
      </c>
      <c r="C122" s="28">
        <v>4754302.4800000004</v>
      </c>
      <c r="D122" s="28"/>
      <c r="E122" s="28">
        <v>248000</v>
      </c>
      <c r="F122" s="28">
        <f>SUM(C122+E122)</f>
        <v>5002302.4800000004</v>
      </c>
    </row>
    <row r="123" spans="1:6" ht="35.1" customHeight="1" x14ac:dyDescent="0.45">
      <c r="A123" s="19">
        <v>107</v>
      </c>
      <c r="B123" s="79" t="s">
        <v>283</v>
      </c>
      <c r="C123" s="28">
        <v>2377151.2400000002</v>
      </c>
      <c r="D123" s="28"/>
      <c r="E123" s="28">
        <v>124000</v>
      </c>
      <c r="F123" s="28">
        <f>SUM(C123+E123)</f>
        <v>2501151.2400000002</v>
      </c>
    </row>
    <row r="124" spans="1:6" ht="35.1" customHeight="1" x14ac:dyDescent="0.45">
      <c r="A124" s="19">
        <v>108</v>
      </c>
      <c r="B124" s="79" t="s">
        <v>284</v>
      </c>
      <c r="C124" s="28"/>
      <c r="D124" s="28">
        <v>3702831.57</v>
      </c>
      <c r="E124" s="28">
        <v>151890.07999999999</v>
      </c>
      <c r="F124" s="28">
        <f>SUM(D124+E124)</f>
        <v>3854721.65</v>
      </c>
    </row>
    <row r="125" spans="1:6" ht="35.1" customHeight="1" x14ac:dyDescent="0.45">
      <c r="A125" s="19">
        <v>109</v>
      </c>
      <c r="B125" s="79" t="s">
        <v>285</v>
      </c>
      <c r="C125" s="28"/>
      <c r="D125" s="28">
        <v>3702831.57</v>
      </c>
      <c r="E125" s="28">
        <v>151890.07999999999</v>
      </c>
      <c r="F125" s="28">
        <f>SUM(D125+E125)</f>
        <v>3854721.65</v>
      </c>
    </row>
    <row r="126" spans="1:6" ht="35.1" customHeight="1" x14ac:dyDescent="0.45">
      <c r="A126" s="19">
        <v>110</v>
      </c>
      <c r="B126" s="79" t="s">
        <v>286</v>
      </c>
      <c r="C126" s="28"/>
      <c r="D126" s="28">
        <v>3702831.57</v>
      </c>
      <c r="E126" s="28">
        <v>151890.07999999999</v>
      </c>
      <c r="F126" s="28">
        <f>SUM(D126+E126)</f>
        <v>3854721.65</v>
      </c>
    </row>
    <row r="127" spans="1:6" ht="35.1" customHeight="1" x14ac:dyDescent="0.45">
      <c r="A127" s="19">
        <v>111</v>
      </c>
      <c r="B127" s="79" t="s">
        <v>287</v>
      </c>
      <c r="C127" s="28">
        <v>2377151.2400000002</v>
      </c>
      <c r="D127" s="28"/>
      <c r="E127" s="28">
        <v>124000</v>
      </c>
      <c r="F127" s="28">
        <f>SUM(C127+E127)</f>
        <v>2501151.2400000002</v>
      </c>
    </row>
    <row r="128" spans="1:6" ht="35.1" customHeight="1" x14ac:dyDescent="0.45">
      <c r="A128" s="19">
        <v>112</v>
      </c>
      <c r="B128" s="79" t="s">
        <v>288</v>
      </c>
      <c r="C128" s="28"/>
      <c r="D128" s="28">
        <v>3702831.57</v>
      </c>
      <c r="E128" s="28">
        <v>151890.07999999999</v>
      </c>
      <c r="F128" s="28">
        <f>SUM(D128+E128)</f>
        <v>3854721.65</v>
      </c>
    </row>
    <row r="129" spans="1:6" ht="35.1" customHeight="1" x14ac:dyDescent="0.45">
      <c r="A129" s="19">
        <v>113</v>
      </c>
      <c r="B129" s="79" t="s">
        <v>289</v>
      </c>
      <c r="C129" s="28"/>
      <c r="D129" s="28">
        <v>1851415.78</v>
      </c>
      <c r="E129" s="28">
        <v>75945.039999999994</v>
      </c>
      <c r="F129" s="28">
        <f>SUM(D129+E129)</f>
        <v>1927360.82</v>
      </c>
    </row>
    <row r="130" spans="1:6" ht="35.1" customHeight="1" x14ac:dyDescent="0.45">
      <c r="A130" s="19">
        <v>114</v>
      </c>
      <c r="B130" s="79" t="s">
        <v>290</v>
      </c>
      <c r="C130" s="28"/>
      <c r="D130" s="28">
        <v>3702831.57</v>
      </c>
      <c r="E130" s="28">
        <v>151890.07999999999</v>
      </c>
      <c r="F130" s="28">
        <f>SUM(D130+E130)</f>
        <v>3854721.65</v>
      </c>
    </row>
    <row r="131" spans="1:6" ht="35.1" customHeight="1" x14ac:dyDescent="0.45">
      <c r="A131" s="19">
        <v>115</v>
      </c>
      <c r="B131" s="79" t="s">
        <v>291</v>
      </c>
      <c r="C131" s="28">
        <v>9508604.9600000009</v>
      </c>
      <c r="D131" s="28"/>
      <c r="E131" s="28">
        <v>496000</v>
      </c>
      <c r="F131" s="28">
        <f t="shared" ref="F131:F138" si="7">SUM(C131+E131)</f>
        <v>10004604.960000001</v>
      </c>
    </row>
    <row r="132" spans="1:6" ht="35.1" customHeight="1" x14ac:dyDescent="0.45">
      <c r="A132" s="19">
        <v>116</v>
      </c>
      <c r="B132" s="79" t="s">
        <v>292</v>
      </c>
      <c r="C132" s="28">
        <v>7131453.7199999997</v>
      </c>
      <c r="D132" s="28"/>
      <c r="E132" s="28">
        <v>372000</v>
      </c>
      <c r="F132" s="28">
        <f t="shared" si="7"/>
        <v>7503453.7199999997</v>
      </c>
    </row>
    <row r="133" spans="1:6" ht="35.1" customHeight="1" x14ac:dyDescent="0.45">
      <c r="A133" s="19">
        <v>117</v>
      </c>
      <c r="B133" s="79" t="s">
        <v>293</v>
      </c>
      <c r="C133" s="28">
        <v>7131453.7199999997</v>
      </c>
      <c r="D133" s="28"/>
      <c r="E133" s="28">
        <v>372000</v>
      </c>
      <c r="F133" s="28">
        <f t="shared" si="7"/>
        <v>7503453.7199999997</v>
      </c>
    </row>
    <row r="134" spans="1:6" ht="35.1" customHeight="1" x14ac:dyDescent="0.45">
      <c r="A134" s="19">
        <v>118</v>
      </c>
      <c r="B134" s="79" t="s">
        <v>294</v>
      </c>
      <c r="C134" s="28">
        <v>2377151.2400000002</v>
      </c>
      <c r="D134" s="28"/>
      <c r="E134" s="28">
        <v>124000</v>
      </c>
      <c r="F134" s="28">
        <f t="shared" si="7"/>
        <v>2501151.2400000002</v>
      </c>
    </row>
    <row r="135" spans="1:6" ht="35.1" customHeight="1" x14ac:dyDescent="0.45">
      <c r="A135" s="19">
        <v>119</v>
      </c>
      <c r="B135" s="79" t="s">
        <v>295</v>
      </c>
      <c r="C135" s="28">
        <v>4754302.4800000004</v>
      </c>
      <c r="D135" s="28"/>
      <c r="E135" s="28">
        <v>248000</v>
      </c>
      <c r="F135" s="28">
        <f t="shared" si="7"/>
        <v>5002302.4800000004</v>
      </c>
    </row>
    <row r="136" spans="1:6" ht="35.1" customHeight="1" x14ac:dyDescent="0.45">
      <c r="A136" s="19">
        <v>120</v>
      </c>
      <c r="B136" s="79" t="s">
        <v>296</v>
      </c>
      <c r="C136" s="28">
        <v>2377151.2400000002</v>
      </c>
      <c r="D136" s="28"/>
      <c r="E136" s="28">
        <v>124000</v>
      </c>
      <c r="F136" s="28">
        <f t="shared" si="7"/>
        <v>2501151.2400000002</v>
      </c>
    </row>
    <row r="137" spans="1:6" ht="35.1" customHeight="1" x14ac:dyDescent="0.45">
      <c r="A137" s="19">
        <v>121</v>
      </c>
      <c r="B137" s="79" t="s">
        <v>297</v>
      </c>
      <c r="C137" s="28">
        <v>2377151.2400000002</v>
      </c>
      <c r="D137" s="28"/>
      <c r="E137" s="28">
        <v>124000</v>
      </c>
      <c r="F137" s="28">
        <f t="shared" si="7"/>
        <v>2501151.2400000002</v>
      </c>
    </row>
    <row r="138" spans="1:6" ht="35.1" customHeight="1" x14ac:dyDescent="0.45">
      <c r="A138" s="19">
        <v>122</v>
      </c>
      <c r="B138" s="79" t="s">
        <v>298</v>
      </c>
      <c r="C138" s="28">
        <v>2377151.2400000002</v>
      </c>
      <c r="D138" s="28"/>
      <c r="E138" s="28">
        <v>124000</v>
      </c>
      <c r="F138" s="28">
        <f t="shared" si="7"/>
        <v>2501151.2400000002</v>
      </c>
    </row>
    <row r="139" spans="1:6" ht="32.25" customHeight="1" x14ac:dyDescent="0.45">
      <c r="A139" s="17">
        <v>1</v>
      </c>
      <c r="B139" s="17">
        <v>2</v>
      </c>
      <c r="C139" s="17">
        <v>3</v>
      </c>
      <c r="D139" s="17">
        <v>4</v>
      </c>
      <c r="E139" s="17">
        <v>5</v>
      </c>
      <c r="F139" s="17">
        <v>6</v>
      </c>
    </row>
    <row r="140" spans="1:6" ht="35.1" customHeight="1" x14ac:dyDescent="0.45">
      <c r="A140" s="19">
        <v>123</v>
      </c>
      <c r="B140" s="79" t="s">
        <v>299</v>
      </c>
      <c r="C140" s="28">
        <v>4754302.4800000004</v>
      </c>
      <c r="D140" s="28">
        <v>3702831.57</v>
      </c>
      <c r="E140" s="28">
        <v>399890.08</v>
      </c>
      <c r="F140" s="28">
        <f t="shared" ref="F140:F145" si="8">SUM(C140:E140)</f>
        <v>8857024.1300000008</v>
      </c>
    </row>
    <row r="141" spans="1:6" ht="35.1" customHeight="1" x14ac:dyDescent="0.45">
      <c r="A141" s="19">
        <v>124</v>
      </c>
      <c r="B141" s="79" t="s">
        <v>300</v>
      </c>
      <c r="C141" s="28">
        <v>4754302.4800000004</v>
      </c>
      <c r="D141" s="28">
        <v>3702831.57</v>
      </c>
      <c r="E141" s="28">
        <v>399890.08</v>
      </c>
      <c r="F141" s="28">
        <f t="shared" si="8"/>
        <v>8857024.1300000008</v>
      </c>
    </row>
    <row r="142" spans="1:6" ht="35.1" customHeight="1" x14ac:dyDescent="0.45">
      <c r="A142" s="19">
        <v>125</v>
      </c>
      <c r="B142" s="79" t="s">
        <v>301</v>
      </c>
      <c r="C142" s="28">
        <v>4754302.4800000004</v>
      </c>
      <c r="D142" s="28">
        <v>3702831.57</v>
      </c>
      <c r="E142" s="28">
        <v>399890.08</v>
      </c>
      <c r="F142" s="28">
        <f t="shared" si="8"/>
        <v>8857024.1300000008</v>
      </c>
    </row>
    <row r="143" spans="1:6" ht="35.1" customHeight="1" x14ac:dyDescent="0.45">
      <c r="A143" s="19">
        <v>126</v>
      </c>
      <c r="B143" s="79" t="s">
        <v>302</v>
      </c>
      <c r="C143" s="28">
        <v>7131453.7199999997</v>
      </c>
      <c r="D143" s="28">
        <v>5554247.3499999996</v>
      </c>
      <c r="E143" s="28">
        <v>599835.12</v>
      </c>
      <c r="F143" s="28">
        <f t="shared" si="8"/>
        <v>13285536.189999999</v>
      </c>
    </row>
    <row r="144" spans="1:6" ht="35.1" customHeight="1" x14ac:dyDescent="0.45">
      <c r="A144" s="19">
        <v>127</v>
      </c>
      <c r="B144" s="79" t="s">
        <v>303</v>
      </c>
      <c r="C144" s="28">
        <v>11885756.199999999</v>
      </c>
      <c r="D144" s="28">
        <v>9257078.9199999999</v>
      </c>
      <c r="E144" s="28">
        <v>999725.2</v>
      </c>
      <c r="F144" s="28">
        <f t="shared" si="8"/>
        <v>22142560.319999997</v>
      </c>
    </row>
    <row r="145" spans="1:6" ht="35.1" customHeight="1" x14ac:dyDescent="0.45">
      <c r="A145" s="19">
        <v>128</v>
      </c>
      <c r="B145" s="79" t="s">
        <v>304</v>
      </c>
      <c r="C145" s="28">
        <v>7131453.7199999997</v>
      </c>
      <c r="D145" s="28">
        <v>5554247.3499999996</v>
      </c>
      <c r="E145" s="28">
        <v>599835.12</v>
      </c>
      <c r="F145" s="28">
        <f t="shared" si="8"/>
        <v>13285536.189999999</v>
      </c>
    </row>
    <row r="146" spans="1:6" ht="35.1" customHeight="1" x14ac:dyDescent="0.45">
      <c r="A146" s="19">
        <v>129</v>
      </c>
      <c r="B146" s="79" t="s">
        <v>305</v>
      </c>
      <c r="C146" s="28">
        <v>7131453.7199999997</v>
      </c>
      <c r="D146" s="28"/>
      <c r="E146" s="28">
        <v>372000</v>
      </c>
      <c r="F146" s="28">
        <f t="shared" ref="F146:F157" si="9">SUM(C146+E146)</f>
        <v>7503453.7199999997</v>
      </c>
    </row>
    <row r="147" spans="1:6" ht="35.1" customHeight="1" x14ac:dyDescent="0.45">
      <c r="A147" s="19">
        <v>130</v>
      </c>
      <c r="B147" s="80" t="s">
        <v>306</v>
      </c>
      <c r="C147" s="28">
        <v>2377151.2400000002</v>
      </c>
      <c r="D147" s="28"/>
      <c r="E147" s="28">
        <v>124000</v>
      </c>
      <c r="F147" s="28">
        <f t="shared" si="9"/>
        <v>2501151.2400000002</v>
      </c>
    </row>
    <row r="148" spans="1:6" ht="35.1" customHeight="1" x14ac:dyDescent="0.45">
      <c r="A148" s="19">
        <v>131</v>
      </c>
      <c r="B148" s="80" t="s">
        <v>307</v>
      </c>
      <c r="C148" s="28">
        <v>2377151.2400000002</v>
      </c>
      <c r="D148" s="45"/>
      <c r="E148" s="28">
        <v>124000</v>
      </c>
      <c r="F148" s="28">
        <f t="shared" si="9"/>
        <v>2501151.2400000002</v>
      </c>
    </row>
    <row r="149" spans="1:6" ht="35.1" customHeight="1" x14ac:dyDescent="0.45">
      <c r="A149" s="19">
        <v>132</v>
      </c>
      <c r="B149" s="80" t="s">
        <v>309</v>
      </c>
      <c r="C149" s="28">
        <v>2377151.2400000002</v>
      </c>
      <c r="D149" s="45"/>
      <c r="E149" s="28">
        <v>124000</v>
      </c>
      <c r="F149" s="28">
        <f t="shared" si="9"/>
        <v>2501151.2400000002</v>
      </c>
    </row>
    <row r="150" spans="1:6" ht="35.1" customHeight="1" x14ac:dyDescent="0.45">
      <c r="A150" s="19">
        <v>133</v>
      </c>
      <c r="B150" s="80" t="s">
        <v>310</v>
      </c>
      <c r="C150" s="28">
        <v>2377151.2400000002</v>
      </c>
      <c r="D150" s="45"/>
      <c r="E150" s="28">
        <v>124000</v>
      </c>
      <c r="F150" s="28">
        <f t="shared" si="9"/>
        <v>2501151.2400000002</v>
      </c>
    </row>
    <row r="151" spans="1:6" ht="35.1" customHeight="1" x14ac:dyDescent="0.45">
      <c r="A151" s="19">
        <v>134</v>
      </c>
      <c r="B151" s="80" t="s">
        <v>311</v>
      </c>
      <c r="C151" s="28">
        <v>2377151.2400000002</v>
      </c>
      <c r="D151" s="45"/>
      <c r="E151" s="28">
        <v>124000</v>
      </c>
      <c r="F151" s="28">
        <f t="shared" si="9"/>
        <v>2501151.2400000002</v>
      </c>
    </row>
    <row r="152" spans="1:6" ht="35.1" customHeight="1" x14ac:dyDescent="0.45">
      <c r="A152" s="19">
        <v>135</v>
      </c>
      <c r="B152" s="80" t="s">
        <v>312</v>
      </c>
      <c r="C152" s="28">
        <v>2377151.2400000002</v>
      </c>
      <c r="D152" s="45"/>
      <c r="E152" s="28">
        <v>124000</v>
      </c>
      <c r="F152" s="28">
        <f t="shared" si="9"/>
        <v>2501151.2400000002</v>
      </c>
    </row>
    <row r="153" spans="1:6" ht="35.1" customHeight="1" x14ac:dyDescent="0.45">
      <c r="A153" s="19">
        <v>136</v>
      </c>
      <c r="B153" s="80" t="s">
        <v>313</v>
      </c>
      <c r="C153" s="28">
        <v>2377151.2400000002</v>
      </c>
      <c r="D153" s="45"/>
      <c r="E153" s="28">
        <v>124000</v>
      </c>
      <c r="F153" s="28">
        <f t="shared" si="9"/>
        <v>2501151.2400000002</v>
      </c>
    </row>
    <row r="154" spans="1:6" ht="35.1" customHeight="1" x14ac:dyDescent="0.45">
      <c r="A154" s="19">
        <v>137</v>
      </c>
      <c r="B154" s="80" t="s">
        <v>314</v>
      </c>
      <c r="C154" s="28">
        <v>2377151.2400000002</v>
      </c>
      <c r="D154" s="45"/>
      <c r="E154" s="28">
        <v>124000</v>
      </c>
      <c r="F154" s="28">
        <f t="shared" si="9"/>
        <v>2501151.2400000002</v>
      </c>
    </row>
    <row r="155" spans="1:6" ht="35.1" customHeight="1" x14ac:dyDescent="0.45">
      <c r="A155" s="19">
        <v>138</v>
      </c>
      <c r="B155" s="80" t="s">
        <v>315</v>
      </c>
      <c r="C155" s="28">
        <v>2377151.2400000002</v>
      </c>
      <c r="D155" s="45"/>
      <c r="E155" s="28">
        <v>124000</v>
      </c>
      <c r="F155" s="28">
        <f t="shared" si="9"/>
        <v>2501151.2400000002</v>
      </c>
    </row>
    <row r="156" spans="1:6" ht="35.1" customHeight="1" x14ac:dyDescent="0.45">
      <c r="A156" s="19">
        <v>139</v>
      </c>
      <c r="B156" s="80" t="s">
        <v>316</v>
      </c>
      <c r="C156" s="28">
        <v>2377151.2400000002</v>
      </c>
      <c r="D156" s="45"/>
      <c r="E156" s="28">
        <v>124000</v>
      </c>
      <c r="F156" s="28">
        <f t="shared" si="9"/>
        <v>2501151.2400000002</v>
      </c>
    </row>
    <row r="157" spans="1:6" ht="35.1" customHeight="1" x14ac:dyDescent="0.45">
      <c r="A157" s="19">
        <v>140</v>
      </c>
      <c r="B157" s="80" t="s">
        <v>318</v>
      </c>
      <c r="C157" s="28">
        <v>2377151.2400000002</v>
      </c>
      <c r="D157" s="45"/>
      <c r="E157" s="28">
        <v>124000</v>
      </c>
      <c r="F157" s="28">
        <f t="shared" si="9"/>
        <v>2501151.2400000002</v>
      </c>
    </row>
    <row r="158" spans="1:6" ht="32.25" customHeight="1" x14ac:dyDescent="0.45">
      <c r="A158" s="17">
        <v>1</v>
      </c>
      <c r="B158" s="17">
        <v>2</v>
      </c>
      <c r="C158" s="17">
        <v>3</v>
      </c>
      <c r="D158" s="17">
        <v>4</v>
      </c>
      <c r="E158" s="17">
        <v>5</v>
      </c>
      <c r="F158" s="17">
        <v>6</v>
      </c>
    </row>
    <row r="159" spans="1:6" ht="35.1" customHeight="1" x14ac:dyDescent="0.45">
      <c r="A159" s="19">
        <v>141</v>
      </c>
      <c r="B159" s="80" t="s">
        <v>319</v>
      </c>
      <c r="C159" s="28">
        <v>2377151.2400000002</v>
      </c>
      <c r="D159" s="45"/>
      <c r="E159" s="28">
        <v>124000</v>
      </c>
      <c r="F159" s="28">
        <f t="shared" ref="F159:F167" si="10">SUM(C159+E159)</f>
        <v>2501151.2400000002</v>
      </c>
    </row>
    <row r="160" spans="1:6" ht="35.1" customHeight="1" x14ac:dyDescent="0.45">
      <c r="A160" s="19">
        <v>142</v>
      </c>
      <c r="B160" s="80" t="s">
        <v>320</v>
      </c>
      <c r="C160" s="28">
        <v>2377151.2400000002</v>
      </c>
      <c r="D160" s="45"/>
      <c r="E160" s="28">
        <v>124000</v>
      </c>
      <c r="F160" s="28">
        <f t="shared" si="10"/>
        <v>2501151.2400000002</v>
      </c>
    </row>
    <row r="161" spans="1:6" ht="35.1" customHeight="1" x14ac:dyDescent="0.45">
      <c r="A161" s="19">
        <v>143</v>
      </c>
      <c r="B161" s="80" t="s">
        <v>321</v>
      </c>
      <c r="C161" s="28">
        <v>2377151.2400000002</v>
      </c>
      <c r="D161" s="45"/>
      <c r="E161" s="28">
        <v>124000</v>
      </c>
      <c r="F161" s="28">
        <f t="shared" si="10"/>
        <v>2501151.2400000002</v>
      </c>
    </row>
    <row r="162" spans="1:6" ht="35.1" customHeight="1" x14ac:dyDescent="0.45">
      <c r="A162" s="19">
        <v>144</v>
      </c>
      <c r="B162" s="80" t="s">
        <v>322</v>
      </c>
      <c r="C162" s="28">
        <v>2377151.2400000002</v>
      </c>
      <c r="D162" s="45"/>
      <c r="E162" s="28">
        <v>124000</v>
      </c>
      <c r="F162" s="28">
        <f t="shared" si="10"/>
        <v>2501151.2400000002</v>
      </c>
    </row>
    <row r="163" spans="1:6" ht="35.1" customHeight="1" x14ac:dyDescent="0.45">
      <c r="A163" s="19">
        <v>145</v>
      </c>
      <c r="B163" s="80" t="s">
        <v>323</v>
      </c>
      <c r="C163" s="28">
        <v>2377151.2400000002</v>
      </c>
      <c r="D163" s="45"/>
      <c r="E163" s="28">
        <v>124000</v>
      </c>
      <c r="F163" s="28">
        <f t="shared" si="10"/>
        <v>2501151.2400000002</v>
      </c>
    </row>
    <row r="164" spans="1:6" ht="35.1" customHeight="1" x14ac:dyDescent="0.45">
      <c r="A164" s="19">
        <v>146</v>
      </c>
      <c r="B164" s="80" t="s">
        <v>324</v>
      </c>
      <c r="C164" s="28">
        <v>2377151.2400000002</v>
      </c>
      <c r="D164" s="45"/>
      <c r="E164" s="28">
        <v>124000</v>
      </c>
      <c r="F164" s="28">
        <f t="shared" si="10"/>
        <v>2501151.2400000002</v>
      </c>
    </row>
    <row r="165" spans="1:6" ht="35.1" customHeight="1" x14ac:dyDescent="0.45">
      <c r="A165" s="19">
        <v>147</v>
      </c>
      <c r="B165" s="80" t="s">
        <v>325</v>
      </c>
      <c r="C165" s="28">
        <v>2377151.2400000002</v>
      </c>
      <c r="D165" s="45"/>
      <c r="E165" s="28">
        <v>124000</v>
      </c>
      <c r="F165" s="28">
        <f t="shared" si="10"/>
        <v>2501151.2400000002</v>
      </c>
    </row>
    <row r="166" spans="1:6" ht="35.1" customHeight="1" x14ac:dyDescent="0.45">
      <c r="A166" s="19">
        <v>148</v>
      </c>
      <c r="B166" s="80" t="s">
        <v>326</v>
      </c>
      <c r="C166" s="28">
        <v>2377151.2400000002</v>
      </c>
      <c r="D166" s="45"/>
      <c r="E166" s="28">
        <v>124000</v>
      </c>
      <c r="F166" s="28">
        <f t="shared" si="10"/>
        <v>2501151.2400000002</v>
      </c>
    </row>
    <row r="167" spans="1:6" ht="35.1" customHeight="1" x14ac:dyDescent="0.45">
      <c r="A167" s="19">
        <v>149</v>
      </c>
      <c r="B167" s="80" t="s">
        <v>327</v>
      </c>
      <c r="C167" s="28">
        <v>4754302.4800000004</v>
      </c>
      <c r="D167" s="28"/>
      <c r="E167" s="28">
        <v>248000</v>
      </c>
      <c r="F167" s="28">
        <f t="shared" si="10"/>
        <v>5002302.4800000004</v>
      </c>
    </row>
    <row r="168" spans="1:6" ht="35.1" customHeight="1" x14ac:dyDescent="0.45">
      <c r="A168" s="19">
        <v>150</v>
      </c>
      <c r="B168" s="80" t="s">
        <v>328</v>
      </c>
      <c r="C168" s="45"/>
      <c r="D168" s="45">
        <v>7405663.1399999997</v>
      </c>
      <c r="E168" s="45">
        <v>303780.15999999997</v>
      </c>
      <c r="F168" s="28">
        <f>SUM(D168+E168)</f>
        <v>7709443.2999999998</v>
      </c>
    </row>
    <row r="169" spans="1:6" ht="35.1" customHeight="1" x14ac:dyDescent="0.45">
      <c r="A169" s="19">
        <v>151</v>
      </c>
      <c r="B169" s="80" t="s">
        <v>329</v>
      </c>
      <c r="C169" s="45"/>
      <c r="D169" s="45">
        <v>3702831.57</v>
      </c>
      <c r="E169" s="45">
        <v>151890.07999999999</v>
      </c>
      <c r="F169" s="28">
        <f>SUM(D169+E169)</f>
        <v>3854721.65</v>
      </c>
    </row>
    <row r="170" spans="1:6" ht="35.1" customHeight="1" x14ac:dyDescent="0.45">
      <c r="A170" s="19">
        <v>152</v>
      </c>
      <c r="B170" s="80" t="s">
        <v>330</v>
      </c>
      <c r="C170" s="45"/>
      <c r="D170" s="45">
        <v>1851415.78</v>
      </c>
      <c r="E170" s="45">
        <v>75945.039999999994</v>
      </c>
      <c r="F170" s="28">
        <f>SUM(D170+E170)</f>
        <v>1927360.82</v>
      </c>
    </row>
    <row r="171" spans="1:6" ht="35.1" customHeight="1" x14ac:dyDescent="0.45">
      <c r="A171" s="19">
        <v>153</v>
      </c>
      <c r="B171" s="80" t="s">
        <v>331</v>
      </c>
      <c r="C171" s="45"/>
      <c r="D171" s="45">
        <v>11108494.710000001</v>
      </c>
      <c r="E171" s="45">
        <v>455670.24</v>
      </c>
      <c r="F171" s="28">
        <f>SUM(D171+E171)</f>
        <v>11564164.950000001</v>
      </c>
    </row>
    <row r="172" spans="1:6" ht="35.1" customHeight="1" x14ac:dyDescent="0.45">
      <c r="A172" s="19">
        <v>154</v>
      </c>
      <c r="B172" s="80" t="s">
        <v>332</v>
      </c>
      <c r="C172" s="28">
        <v>2377151.2400000002</v>
      </c>
      <c r="D172" s="45"/>
      <c r="E172" s="28">
        <v>124000</v>
      </c>
      <c r="F172" s="28">
        <f>SUM(C172+E172)</f>
        <v>2501151.2400000002</v>
      </c>
    </row>
    <row r="173" spans="1:6" ht="35.1" customHeight="1" x14ac:dyDescent="0.45">
      <c r="A173" s="19">
        <v>155</v>
      </c>
      <c r="B173" s="80" t="s">
        <v>333</v>
      </c>
      <c r="C173" s="28">
        <v>2377151.2400000002</v>
      </c>
      <c r="D173" s="45"/>
      <c r="E173" s="28">
        <v>124000</v>
      </c>
      <c r="F173" s="28">
        <f>SUM(C173+E173)</f>
        <v>2501151.2400000002</v>
      </c>
    </row>
    <row r="174" spans="1:6" ht="35.1" customHeight="1" x14ac:dyDescent="0.45">
      <c r="A174" s="19">
        <v>156</v>
      </c>
      <c r="B174" s="80" t="s">
        <v>334</v>
      </c>
      <c r="C174" s="28">
        <v>2377151.2400000002</v>
      </c>
      <c r="D174" s="45"/>
      <c r="E174" s="28">
        <v>124000</v>
      </c>
      <c r="F174" s="28">
        <f>SUM(C174+E174)</f>
        <v>2501151.2400000002</v>
      </c>
    </row>
    <row r="175" spans="1:6" ht="35.1" customHeight="1" x14ac:dyDescent="0.45">
      <c r="A175" s="19">
        <v>157</v>
      </c>
      <c r="B175" s="80" t="s">
        <v>335</v>
      </c>
      <c r="C175" s="45"/>
      <c r="D175" s="45">
        <v>1851415.78</v>
      </c>
      <c r="E175" s="45">
        <v>75945.039999999994</v>
      </c>
      <c r="F175" s="28">
        <f>SUM(D175+E175)</f>
        <v>1927360.82</v>
      </c>
    </row>
    <row r="176" spans="1:6" ht="35.1" customHeight="1" x14ac:dyDescent="0.45">
      <c r="A176" s="19">
        <v>158</v>
      </c>
      <c r="B176" s="80" t="s">
        <v>336</v>
      </c>
      <c r="C176" s="45"/>
      <c r="D176" s="45">
        <v>3702831.57</v>
      </c>
      <c r="E176" s="45">
        <v>151890.07999999999</v>
      </c>
      <c r="F176" s="28">
        <f>SUM(D176+E176)</f>
        <v>3854721.65</v>
      </c>
    </row>
    <row r="177" spans="1:6" ht="32.25" customHeight="1" x14ac:dyDescent="0.45">
      <c r="A177" s="17">
        <v>1</v>
      </c>
      <c r="B177" s="17">
        <v>2</v>
      </c>
      <c r="C177" s="17">
        <v>3</v>
      </c>
      <c r="D177" s="17">
        <v>4</v>
      </c>
      <c r="E177" s="17">
        <v>5</v>
      </c>
      <c r="F177" s="17">
        <v>6</v>
      </c>
    </row>
    <row r="178" spans="1:6" ht="35.1" customHeight="1" x14ac:dyDescent="0.45">
      <c r="A178" s="19">
        <v>159</v>
      </c>
      <c r="B178" s="80" t="s">
        <v>337</v>
      </c>
      <c r="C178" s="45"/>
      <c r="D178" s="45">
        <v>7405663.1399999997</v>
      </c>
      <c r="E178" s="45">
        <v>303780.15999999997</v>
      </c>
      <c r="F178" s="28">
        <f>SUM(D178+E178)</f>
        <v>7709443.2999999998</v>
      </c>
    </row>
    <row r="179" spans="1:6" ht="35.1" customHeight="1" x14ac:dyDescent="0.45">
      <c r="A179" s="19">
        <v>160</v>
      </c>
      <c r="B179" s="80" t="s">
        <v>338</v>
      </c>
      <c r="C179" s="45"/>
      <c r="D179" s="45">
        <v>9257078.9199999999</v>
      </c>
      <c r="E179" s="45">
        <v>379725.2</v>
      </c>
      <c r="F179" s="28">
        <f>SUM(D179+E179)</f>
        <v>9636804.1199999992</v>
      </c>
    </row>
    <row r="180" spans="1:6" ht="35.1" customHeight="1" x14ac:dyDescent="0.45">
      <c r="A180" s="19">
        <v>161</v>
      </c>
      <c r="B180" s="79" t="s">
        <v>339</v>
      </c>
      <c r="C180" s="28"/>
      <c r="D180" s="28">
        <v>1851415.78</v>
      </c>
      <c r="E180" s="28">
        <v>75945.039999999994</v>
      </c>
      <c r="F180" s="28">
        <f>SUM(D180+E180)</f>
        <v>1927360.82</v>
      </c>
    </row>
    <row r="181" spans="1:6" s="3" customFormat="1" ht="56.85" customHeight="1" x14ac:dyDescent="1.35">
      <c r="A181" s="5"/>
      <c r="B181" s="58"/>
      <c r="C181" s="57"/>
      <c r="D181" s="70"/>
      <c r="E181" s="57"/>
      <c r="F181" s="57"/>
    </row>
    <row r="182" spans="1:6" ht="15.75" customHeight="1" x14ac:dyDescent="0.45">
      <c r="C182" s="65"/>
      <c r="E182" s="65"/>
      <c r="F182" s="65"/>
    </row>
    <row r="183" spans="1:6" ht="15.75" customHeight="1" x14ac:dyDescent="0.45">
      <c r="E183" s="65"/>
      <c r="F183" s="65"/>
    </row>
    <row r="184" spans="1:6" ht="13.5" customHeight="1" x14ac:dyDescent="0.45">
      <c r="E184" s="65"/>
      <c r="F184" s="65"/>
    </row>
    <row r="185" spans="1:6" ht="15.75" hidden="1" customHeight="1" x14ac:dyDescent="0.45">
      <c r="E185" s="65"/>
      <c r="F185" s="65"/>
    </row>
  </sheetData>
  <mergeCells count="4">
    <mergeCell ref="F1:G1"/>
    <mergeCell ref="F2:G2"/>
    <mergeCell ref="F3:G3"/>
    <mergeCell ref="F4:G4"/>
  </mergeCells>
  <pageMargins left="0.78740157480314998" right="0.511811023622047" top="0.98425196850393704" bottom="0.59055118110236204" header="0" footer="0"/>
  <pageSetup paperSize="9" scale="70" fitToHeight="0" orientation="landscape" r:id="rId1"/>
  <headerFooter differentFirst="1" scaleWithDoc="0" alignWithMargins="0">
    <oddHeader>&amp;C&amp;P</oddHeader>
    <evenHeader>&amp;C&amp;38
&amp;K00+000 4&amp;K000000</evenHeader>
    <firstHeader>&amp;C&amp;50 
&amp;40 &amp;10</firstHeader>
  </headerFooter>
  <colBreaks count="1" manualBreakCount="1">
    <brk id="6" max="350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51"/>
  <sheetViews>
    <sheetView view="pageBreakPreview" topLeftCell="S177" zoomScale="40" zoomScaleNormal="30" zoomScalePageLayoutView="40" workbookViewId="0">
      <selection activeCell="Z184" sqref="Z184"/>
    </sheetView>
  </sheetViews>
  <sheetFormatPr defaultColWidth="9.33203125" defaultRowHeight="22.2" x14ac:dyDescent="0.45"/>
  <cols>
    <col min="1" max="1" width="10.109375" style="5" customWidth="1"/>
    <col min="2" max="2" width="21.6640625" style="5" customWidth="1"/>
    <col min="3" max="3" width="49.109375" style="5" customWidth="1"/>
    <col min="4" max="4" width="14" style="6" customWidth="1"/>
    <col min="5" max="5" width="10.33203125" style="6" customWidth="1"/>
    <col min="6" max="6" width="10" style="6" customWidth="1"/>
    <col min="7" max="7" width="19.44140625" style="6" customWidth="1"/>
    <col min="8" max="8" width="19.109375" style="6" customWidth="1"/>
    <col min="9" max="9" width="19.6640625" style="6" customWidth="1"/>
    <col min="10" max="10" width="10" style="6" customWidth="1"/>
    <col min="11" max="11" width="13.6640625" style="7" customWidth="1"/>
    <col min="12" max="12" width="15.77734375" style="6" customWidth="1"/>
    <col min="13" max="13" width="13.33203125" style="8" customWidth="1"/>
    <col min="14" max="14" width="30.6640625" style="9" customWidth="1"/>
    <col min="15" max="15" width="29.44140625" style="9" customWidth="1"/>
    <col min="16" max="16" width="27.109375" style="9" customWidth="1"/>
    <col min="17" max="17" width="32.33203125" style="9" customWidth="1"/>
    <col min="18" max="18" width="30.33203125" style="9" customWidth="1"/>
    <col min="19" max="19" width="27.44140625" style="9" customWidth="1"/>
    <col min="20" max="20" width="27.109375" style="9" customWidth="1"/>
    <col min="21" max="21" width="29.6640625" style="9" customWidth="1"/>
    <col min="22" max="22" width="32" style="9" customWidth="1"/>
    <col min="23" max="23" width="28.44140625" style="9" customWidth="1"/>
    <col min="24" max="24" width="31" style="9" customWidth="1"/>
    <col min="25" max="25" width="27.109375" style="9" customWidth="1"/>
    <col min="26" max="26" width="27.77734375" style="9" customWidth="1"/>
    <col min="27" max="27" width="31" style="9" customWidth="1"/>
    <col min="28" max="28" width="31.44140625" style="9" customWidth="1"/>
    <col min="29" max="29" width="28.33203125" style="9" customWidth="1"/>
    <col min="30" max="30" width="29.109375" style="9" customWidth="1"/>
    <col min="31" max="31" width="28.109375" style="8" customWidth="1"/>
    <col min="32" max="32" width="23.109375" style="8" customWidth="1"/>
    <col min="33" max="33" width="23.77734375" style="8" customWidth="1"/>
    <col min="34" max="16384" width="9.33203125" style="5"/>
  </cols>
  <sheetData>
    <row r="1" spans="1:34" ht="27.75" hidden="1" customHeight="1" x14ac:dyDescent="0.45">
      <c r="AA1" s="351" t="s">
        <v>150</v>
      </c>
      <c r="AB1" s="351"/>
      <c r="AC1" s="351"/>
      <c r="AD1" s="351"/>
      <c r="AE1" s="351"/>
      <c r="AF1" s="351"/>
      <c r="AG1" s="351"/>
      <c r="AH1" s="351"/>
    </row>
    <row r="2" spans="1:34" ht="387" hidden="1" customHeight="1" x14ac:dyDescent="0.45">
      <c r="AA2" s="351"/>
      <c r="AB2" s="351"/>
      <c r="AC2" s="351"/>
      <c r="AD2" s="351"/>
      <c r="AE2" s="351"/>
      <c r="AF2" s="351"/>
      <c r="AG2" s="351"/>
      <c r="AH2" s="351"/>
    </row>
    <row r="3" spans="1:34" ht="51" hidden="1" customHeight="1" x14ac:dyDescent="0.45">
      <c r="AA3" s="351"/>
      <c r="AB3" s="351"/>
      <c r="AC3" s="351"/>
      <c r="AD3" s="351"/>
      <c r="AE3" s="351"/>
      <c r="AF3" s="351"/>
      <c r="AG3" s="351"/>
      <c r="AH3" s="351"/>
    </row>
    <row r="4" spans="1:34" ht="3" hidden="1" customHeight="1" x14ac:dyDescent="0.45">
      <c r="AA4" s="351"/>
      <c r="AB4" s="351"/>
      <c r="AC4" s="351"/>
      <c r="AD4" s="351"/>
      <c r="AE4" s="351"/>
      <c r="AF4" s="351"/>
      <c r="AG4" s="351"/>
      <c r="AH4" s="351"/>
    </row>
    <row r="5" spans="1:34" ht="18.75" hidden="1" customHeight="1" x14ac:dyDescent="0.45">
      <c r="AA5" s="33"/>
      <c r="AB5" s="33"/>
      <c r="AC5" s="33"/>
      <c r="AD5" s="33"/>
      <c r="AE5" s="34"/>
      <c r="AF5" s="34"/>
      <c r="AG5" s="34"/>
      <c r="AH5" s="32"/>
    </row>
    <row r="6" spans="1:34" ht="65.25" customHeight="1" x14ac:dyDescent="1.3">
      <c r="B6" s="10"/>
      <c r="C6" s="10"/>
      <c r="D6" s="11"/>
      <c r="E6" s="11"/>
      <c r="F6" s="11"/>
      <c r="G6" s="11"/>
      <c r="H6" s="11"/>
      <c r="I6" s="11"/>
      <c r="J6" s="11"/>
      <c r="K6" s="24"/>
      <c r="L6" s="11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369" t="s">
        <v>151</v>
      </c>
      <c r="AB6" s="369"/>
      <c r="AC6" s="369"/>
      <c r="AD6" s="369"/>
      <c r="AE6" s="369"/>
      <c r="AF6" s="369"/>
      <c r="AG6" s="369"/>
      <c r="AH6" s="32"/>
    </row>
    <row r="7" spans="1:34" ht="56.25" customHeight="1" x14ac:dyDescent="1.3">
      <c r="B7" s="10"/>
      <c r="C7" s="10"/>
      <c r="D7" s="11"/>
      <c r="E7" s="11"/>
      <c r="F7" s="11"/>
      <c r="G7" s="11"/>
      <c r="H7" s="11"/>
      <c r="I7" s="11"/>
      <c r="J7" s="11"/>
      <c r="K7" s="24"/>
      <c r="L7" s="11"/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369" t="s">
        <v>566</v>
      </c>
      <c r="AB7" s="369"/>
      <c r="AC7" s="369"/>
      <c r="AD7" s="369"/>
      <c r="AE7" s="369"/>
      <c r="AF7" s="369"/>
      <c r="AG7" s="369"/>
      <c r="AH7" s="32"/>
    </row>
    <row r="8" spans="1:34" ht="57.75" customHeight="1" x14ac:dyDescent="1.3">
      <c r="B8" s="10"/>
      <c r="C8" s="10"/>
      <c r="D8" s="11"/>
      <c r="E8" s="11"/>
      <c r="F8" s="11"/>
      <c r="G8" s="11"/>
      <c r="H8" s="11"/>
      <c r="I8" s="11"/>
      <c r="J8" s="11"/>
      <c r="K8" s="24"/>
      <c r="L8" s="11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369" t="s">
        <v>567</v>
      </c>
      <c r="AB8" s="369"/>
      <c r="AC8" s="369"/>
      <c r="AD8" s="369"/>
      <c r="AE8" s="369"/>
      <c r="AF8" s="369"/>
      <c r="AG8" s="369"/>
      <c r="AH8" s="32"/>
    </row>
    <row r="9" spans="1:34" ht="71.25" customHeight="1" x14ac:dyDescent="1.3">
      <c r="B9" s="10"/>
      <c r="C9" s="10"/>
      <c r="D9" s="11"/>
      <c r="E9" s="11"/>
      <c r="F9" s="11"/>
      <c r="G9" s="11"/>
      <c r="H9" s="11"/>
      <c r="I9" s="11"/>
      <c r="J9" s="11"/>
      <c r="K9" s="24"/>
      <c r="L9" s="11"/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369" t="s">
        <v>857</v>
      </c>
      <c r="AB9" s="369"/>
      <c r="AC9" s="369"/>
      <c r="AD9" s="369"/>
      <c r="AE9" s="369"/>
      <c r="AF9" s="369"/>
      <c r="AG9" s="369"/>
      <c r="AH9" s="32"/>
    </row>
    <row r="10" spans="1:34" ht="56.25" customHeight="1" x14ac:dyDescent="1.05">
      <c r="B10" s="10"/>
      <c r="C10" s="10"/>
      <c r="D10" s="11"/>
      <c r="E10" s="11"/>
      <c r="F10" s="11"/>
      <c r="G10" s="11"/>
      <c r="H10" s="11"/>
      <c r="I10" s="11"/>
      <c r="J10" s="11"/>
      <c r="K10" s="24"/>
      <c r="L10" s="11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35"/>
      <c r="AB10" s="35"/>
      <c r="AC10" s="35"/>
      <c r="AD10" s="35"/>
      <c r="AE10" s="36"/>
      <c r="AF10" s="36"/>
      <c r="AG10" s="36"/>
      <c r="AH10" s="32"/>
    </row>
    <row r="11" spans="1:34" s="1" customFormat="1" ht="133.5" customHeight="1" x14ac:dyDescent="0.45">
      <c r="A11" s="370" t="s">
        <v>569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</row>
    <row r="12" spans="1:34" s="1" customFormat="1" ht="33.75" customHeight="1" x14ac:dyDescent="0.4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4" ht="66.75" customHeight="1" x14ac:dyDescent="0.45">
      <c r="A13" s="357" t="s">
        <v>9</v>
      </c>
      <c r="B13" s="359" t="s">
        <v>570</v>
      </c>
      <c r="C13" s="359" t="s">
        <v>152</v>
      </c>
      <c r="D13" s="359" t="s">
        <v>571</v>
      </c>
      <c r="E13" s="359" t="s">
        <v>572</v>
      </c>
      <c r="F13" s="359" t="s">
        <v>573</v>
      </c>
      <c r="G13" s="357" t="s">
        <v>574</v>
      </c>
      <c r="H13" s="352" t="s">
        <v>575</v>
      </c>
      <c r="I13" s="354"/>
      <c r="J13" s="359" t="s">
        <v>576</v>
      </c>
      <c r="K13" s="359" t="s">
        <v>577</v>
      </c>
      <c r="L13" s="359" t="s">
        <v>578</v>
      </c>
      <c r="M13" s="359" t="s">
        <v>415</v>
      </c>
      <c r="N13" s="371" t="s">
        <v>579</v>
      </c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52" t="s">
        <v>580</v>
      </c>
      <c r="AB13" s="353"/>
      <c r="AC13" s="353"/>
      <c r="AD13" s="353"/>
      <c r="AE13" s="354"/>
      <c r="AF13" s="357" t="s">
        <v>581</v>
      </c>
      <c r="AG13" s="357" t="s">
        <v>582</v>
      </c>
    </row>
    <row r="14" spans="1:34" ht="231" customHeight="1" x14ac:dyDescent="0.45">
      <c r="A14" s="358"/>
      <c r="B14" s="360"/>
      <c r="C14" s="360"/>
      <c r="D14" s="360"/>
      <c r="E14" s="360"/>
      <c r="F14" s="360"/>
      <c r="G14" s="358"/>
      <c r="H14" s="16" t="s">
        <v>583</v>
      </c>
      <c r="I14" s="16" t="s">
        <v>584</v>
      </c>
      <c r="J14" s="360"/>
      <c r="K14" s="360"/>
      <c r="L14" s="360"/>
      <c r="M14" s="360"/>
      <c r="N14" s="28" t="s">
        <v>343</v>
      </c>
      <c r="O14" s="28" t="s">
        <v>344</v>
      </c>
      <c r="P14" s="28" t="s">
        <v>345</v>
      </c>
      <c r="Q14" s="28" t="s">
        <v>346</v>
      </c>
      <c r="R14" s="28" t="s">
        <v>347</v>
      </c>
      <c r="S14" s="28" t="s">
        <v>348</v>
      </c>
      <c r="T14" s="28" t="s">
        <v>349</v>
      </c>
      <c r="U14" s="28" t="s">
        <v>350</v>
      </c>
      <c r="V14" s="28" t="s">
        <v>351</v>
      </c>
      <c r="W14" s="28" t="s">
        <v>352</v>
      </c>
      <c r="X14" s="28" t="s">
        <v>353</v>
      </c>
      <c r="Y14" s="28" t="s">
        <v>354</v>
      </c>
      <c r="Z14" s="28" t="s">
        <v>355</v>
      </c>
      <c r="AA14" s="28" t="s">
        <v>356</v>
      </c>
      <c r="AB14" s="28" t="s">
        <v>357</v>
      </c>
      <c r="AC14" s="28" t="s">
        <v>358</v>
      </c>
      <c r="AD14" s="28" t="s">
        <v>359</v>
      </c>
      <c r="AE14" s="19" t="s">
        <v>585</v>
      </c>
      <c r="AF14" s="358"/>
      <c r="AG14" s="358"/>
    </row>
    <row r="15" spans="1:34" s="2" customFormat="1" ht="64.5" customHeight="1" x14ac:dyDescent="0.4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  <c r="W15" s="17">
        <v>23</v>
      </c>
      <c r="X15" s="17">
        <v>24</v>
      </c>
      <c r="Y15" s="17">
        <v>25</v>
      </c>
      <c r="Z15" s="17">
        <v>26</v>
      </c>
      <c r="AA15" s="17">
        <v>27</v>
      </c>
      <c r="AB15" s="17">
        <v>28</v>
      </c>
      <c r="AC15" s="17">
        <v>29</v>
      </c>
      <c r="AD15" s="17">
        <v>30</v>
      </c>
      <c r="AE15" s="17">
        <v>31</v>
      </c>
      <c r="AF15" s="17">
        <v>32</v>
      </c>
      <c r="AG15" s="17">
        <v>33</v>
      </c>
    </row>
    <row r="16" spans="1:34" ht="84.9" customHeight="1" x14ac:dyDescent="0.45">
      <c r="A16" s="365" t="s">
        <v>842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7"/>
    </row>
    <row r="17" spans="1:33" ht="84.9" customHeight="1" x14ac:dyDescent="0.45">
      <c r="A17" s="19">
        <v>254</v>
      </c>
      <c r="B17" s="14" t="s">
        <v>587</v>
      </c>
      <c r="C17" s="20" t="s">
        <v>161</v>
      </c>
      <c r="D17" s="19">
        <v>1978</v>
      </c>
      <c r="E17" s="19">
        <v>9</v>
      </c>
      <c r="F17" s="19">
        <v>2</v>
      </c>
      <c r="G17" s="19">
        <v>4527</v>
      </c>
      <c r="H17" s="19">
        <v>3885.7</v>
      </c>
      <c r="I17" s="19">
        <v>3767.5</v>
      </c>
      <c r="J17" s="19" t="s">
        <v>364</v>
      </c>
      <c r="K17" s="19" t="s">
        <v>365</v>
      </c>
      <c r="L17" s="19" t="s">
        <v>366</v>
      </c>
      <c r="M17" s="19"/>
      <c r="N17" s="19"/>
      <c r="O17" s="19"/>
      <c r="P17" s="19"/>
      <c r="Q17" s="19"/>
      <c r="R17" s="19"/>
      <c r="S17" s="19"/>
      <c r="T17" s="19"/>
      <c r="U17" s="31">
        <v>3702831.57</v>
      </c>
      <c r="V17" s="19"/>
      <c r="W17" s="19"/>
      <c r="X17" s="19"/>
      <c r="Y17" s="19"/>
      <c r="Z17" s="31">
        <v>151890.07999999999</v>
      </c>
      <c r="AA17" s="31">
        <f>SUM(U17+Z17)</f>
        <v>3854721.65</v>
      </c>
      <c r="AB17" s="19"/>
      <c r="AC17" s="19"/>
      <c r="AD17" s="31">
        <f>AA17</f>
        <v>3854721.65</v>
      </c>
      <c r="AE17" s="19"/>
      <c r="AF17" s="20">
        <v>2022</v>
      </c>
      <c r="AG17" s="20">
        <v>2022</v>
      </c>
    </row>
    <row r="18" spans="1:33" ht="84.9" customHeight="1" x14ac:dyDescent="0.45">
      <c r="A18" s="19">
        <v>255</v>
      </c>
      <c r="B18" s="14" t="s">
        <v>587</v>
      </c>
      <c r="C18" s="20" t="s">
        <v>162</v>
      </c>
      <c r="D18" s="19">
        <v>1977</v>
      </c>
      <c r="E18" s="19">
        <v>9</v>
      </c>
      <c r="F18" s="19">
        <v>4</v>
      </c>
      <c r="G18" s="19">
        <v>7622</v>
      </c>
      <c r="H18" s="19">
        <v>7607.1</v>
      </c>
      <c r="I18" s="19">
        <v>7532.23</v>
      </c>
      <c r="J18" s="19" t="s">
        <v>364</v>
      </c>
      <c r="K18" s="19" t="s">
        <v>365</v>
      </c>
      <c r="L18" s="19" t="s">
        <v>366</v>
      </c>
      <c r="M18" s="19"/>
      <c r="N18" s="19"/>
      <c r="O18" s="19"/>
      <c r="P18" s="19"/>
      <c r="Q18" s="19"/>
      <c r="R18" s="19"/>
      <c r="S18" s="19"/>
      <c r="T18" s="19"/>
      <c r="U18" s="31">
        <v>7405663.1399999997</v>
      </c>
      <c r="V18" s="19"/>
      <c r="W18" s="19"/>
      <c r="X18" s="19"/>
      <c r="Y18" s="19"/>
      <c r="Z18" s="31">
        <v>303780.15999999997</v>
      </c>
      <c r="AA18" s="31">
        <f>SUM(U18+Z18)</f>
        <v>7709443.2999999998</v>
      </c>
      <c r="AB18" s="19"/>
      <c r="AC18" s="19"/>
      <c r="AD18" s="31">
        <f>AA18</f>
        <v>7709443.2999999998</v>
      </c>
      <c r="AE18" s="19"/>
      <c r="AF18" s="20">
        <v>2022</v>
      </c>
      <c r="AG18" s="20">
        <v>2022</v>
      </c>
    </row>
    <row r="19" spans="1:33" ht="84.9" customHeight="1" x14ac:dyDescent="0.45">
      <c r="A19" s="19">
        <v>256</v>
      </c>
      <c r="B19" s="14" t="s">
        <v>587</v>
      </c>
      <c r="C19" s="20" t="s">
        <v>163</v>
      </c>
      <c r="D19" s="19">
        <v>1977</v>
      </c>
      <c r="E19" s="19">
        <v>9</v>
      </c>
      <c r="F19" s="19">
        <v>1</v>
      </c>
      <c r="G19" s="19">
        <v>2691</v>
      </c>
      <c r="H19" s="19">
        <v>2378</v>
      </c>
      <c r="I19" s="19">
        <v>2378.1999999999998</v>
      </c>
      <c r="J19" s="19" t="s">
        <v>364</v>
      </c>
      <c r="K19" s="19" t="s">
        <v>365</v>
      </c>
      <c r="L19" s="19" t="s">
        <v>366</v>
      </c>
      <c r="M19" s="19"/>
      <c r="N19" s="19"/>
      <c r="O19" s="19"/>
      <c r="P19" s="19"/>
      <c r="Q19" s="19"/>
      <c r="R19" s="19"/>
      <c r="S19" s="19"/>
      <c r="T19" s="19"/>
      <c r="U19" s="31">
        <v>1851415.78</v>
      </c>
      <c r="V19" s="19"/>
      <c r="W19" s="19"/>
      <c r="X19" s="19"/>
      <c r="Y19" s="19"/>
      <c r="Z19" s="31">
        <v>75945.039999999994</v>
      </c>
      <c r="AA19" s="31">
        <f>SUM(U19+Z19)</f>
        <v>1927360.82</v>
      </c>
      <c r="AB19" s="19"/>
      <c r="AC19" s="19"/>
      <c r="AD19" s="31">
        <f>AA19</f>
        <v>1927360.82</v>
      </c>
      <c r="AE19" s="19"/>
      <c r="AF19" s="20">
        <v>2022</v>
      </c>
      <c r="AG19" s="20">
        <v>2022</v>
      </c>
    </row>
    <row r="20" spans="1:33" ht="84.9" customHeight="1" x14ac:dyDescent="0.45">
      <c r="A20" s="19">
        <v>257</v>
      </c>
      <c r="B20" s="21" t="s">
        <v>587</v>
      </c>
      <c r="C20" s="20" t="s">
        <v>164</v>
      </c>
      <c r="D20" s="19">
        <v>1977</v>
      </c>
      <c r="E20" s="19">
        <v>9</v>
      </c>
      <c r="F20" s="19">
        <v>4</v>
      </c>
      <c r="G20" s="19">
        <v>7694</v>
      </c>
      <c r="H20" s="19">
        <v>7688.7</v>
      </c>
      <c r="I20" s="19">
        <v>7626.8</v>
      </c>
      <c r="J20" s="19" t="s">
        <v>364</v>
      </c>
      <c r="K20" s="19" t="s">
        <v>365</v>
      </c>
      <c r="L20" s="19" t="s">
        <v>366</v>
      </c>
      <c r="M20" s="19"/>
      <c r="N20" s="19"/>
      <c r="O20" s="29">
        <v>4754302.4800000004</v>
      </c>
      <c r="P20" s="19"/>
      <c r="Q20" s="19"/>
      <c r="R20" s="19"/>
      <c r="S20" s="19"/>
      <c r="T20" s="19"/>
      <c r="U20" s="31">
        <v>7405663.1399999997</v>
      </c>
      <c r="V20" s="19"/>
      <c r="W20" s="19"/>
      <c r="X20" s="19"/>
      <c r="Y20" s="19"/>
      <c r="Z20" s="29">
        <v>551780.16</v>
      </c>
      <c r="AA20" s="29">
        <f>SUM(O20+U20+Z20)</f>
        <v>12711745.780000001</v>
      </c>
      <c r="AB20" s="29">
        <v>5002302.4800000004</v>
      </c>
      <c r="AC20" s="19"/>
      <c r="AD20" s="31">
        <v>7709443.2999999998</v>
      </c>
      <c r="AE20" s="19"/>
      <c r="AF20" s="20">
        <v>2022</v>
      </c>
      <c r="AG20" s="20">
        <v>2022</v>
      </c>
    </row>
    <row r="21" spans="1:33" ht="84.9" customHeight="1" x14ac:dyDescent="0.45">
      <c r="A21" s="19">
        <v>258</v>
      </c>
      <c r="B21" s="14" t="s">
        <v>587</v>
      </c>
      <c r="C21" s="19" t="s">
        <v>361</v>
      </c>
      <c r="D21" s="19">
        <v>1961</v>
      </c>
      <c r="E21" s="19">
        <v>4</v>
      </c>
      <c r="F21" s="19">
        <v>2</v>
      </c>
      <c r="G21" s="19">
        <v>1472.4</v>
      </c>
      <c r="H21" s="19">
        <f>1238.3+126</f>
        <v>1364.3</v>
      </c>
      <c r="I21" s="19">
        <v>785.6</v>
      </c>
      <c r="J21" s="19" t="s">
        <v>364</v>
      </c>
      <c r="K21" s="19" t="s">
        <v>365</v>
      </c>
      <c r="L21" s="19" t="s">
        <v>366</v>
      </c>
      <c r="M21" s="19"/>
      <c r="N21" s="30"/>
      <c r="O21" s="30"/>
      <c r="P21" s="30"/>
      <c r="Q21" s="30"/>
      <c r="R21" s="30"/>
      <c r="S21" s="30"/>
      <c r="T21" s="19"/>
      <c r="U21" s="19"/>
      <c r="V21" s="28">
        <f>ROUND(H21*5975.33*1.015,2)</f>
        <v>8274424.8600000003</v>
      </c>
      <c r="W21" s="19"/>
      <c r="X21" s="19"/>
      <c r="Y21" s="19"/>
      <c r="Z21" s="28">
        <v>466942.1</v>
      </c>
      <c r="AA21" s="28">
        <f>SUM(V21+Z21)</f>
        <v>8741366.9600000009</v>
      </c>
      <c r="AB21" s="19"/>
      <c r="AC21" s="19"/>
      <c r="AD21" s="28">
        <f>SUM(V21+Z21)</f>
        <v>8741366.9600000009</v>
      </c>
      <c r="AE21" s="19"/>
      <c r="AF21" s="19">
        <v>2022</v>
      </c>
      <c r="AG21" s="19">
        <v>2022</v>
      </c>
    </row>
    <row r="22" spans="1:33" ht="84.9" customHeight="1" x14ac:dyDescent="0.45">
      <c r="A22" s="19">
        <v>259</v>
      </c>
      <c r="B22" s="14" t="s">
        <v>587</v>
      </c>
      <c r="C22" s="19" t="s">
        <v>368</v>
      </c>
      <c r="D22" s="19">
        <v>1980</v>
      </c>
      <c r="E22" s="19">
        <v>2</v>
      </c>
      <c r="F22" s="19">
        <v>2</v>
      </c>
      <c r="G22" s="19">
        <v>786.3</v>
      </c>
      <c r="H22" s="19">
        <v>745</v>
      </c>
      <c r="I22" s="19" t="s">
        <v>364</v>
      </c>
      <c r="J22" s="19" t="s">
        <v>364</v>
      </c>
      <c r="K22" s="19" t="s">
        <v>371</v>
      </c>
      <c r="L22" s="19" t="s">
        <v>366</v>
      </c>
      <c r="M22" s="19"/>
      <c r="N22" s="28">
        <f>ROUND(H22*616.25*1.015,2)</f>
        <v>465992.84</v>
      </c>
      <c r="O22" s="28">
        <f>ROUND(H22*2933.55*1.015,2)</f>
        <v>2218277.17</v>
      </c>
      <c r="P22" s="28">
        <f>ROUND(H22*598.59*1.015,2)</f>
        <v>452638.79</v>
      </c>
      <c r="Q22" s="28">
        <f>ROUND(H22*659.34*1.015,2)</f>
        <v>498576.42</v>
      </c>
      <c r="R22" s="28"/>
      <c r="S22" s="28">
        <f>ROUND(H22*1015.78*1.015,2)</f>
        <v>768107.44</v>
      </c>
      <c r="T22" s="28"/>
      <c r="U22" s="28"/>
      <c r="V22" s="28">
        <f>ROUND(8645.31*H22*1.015,2)</f>
        <v>6537367.29</v>
      </c>
      <c r="W22" s="28"/>
      <c r="X22" s="28">
        <f>ROUND(6480.9*H22*1.015,2)</f>
        <v>4900694.5599999996</v>
      </c>
      <c r="Y22" s="28"/>
      <c r="Z22" s="28">
        <v>399817.36</v>
      </c>
      <c r="AA22" s="28">
        <f>SUM(N22+O22+P22+Q22+S22+V22+X22+Z22)</f>
        <v>16241471.869999997</v>
      </c>
      <c r="AB22" s="28"/>
      <c r="AC22" s="28"/>
      <c r="AD22" s="28">
        <f>SUM(N22:Z22)</f>
        <v>16241471.869999997</v>
      </c>
      <c r="AE22" s="37"/>
      <c r="AF22" s="19">
        <v>2020</v>
      </c>
      <c r="AG22" s="19">
        <v>2022</v>
      </c>
    </row>
    <row r="23" spans="1:33" ht="84.9" customHeight="1" x14ac:dyDescent="0.45">
      <c r="A23" s="19">
        <v>260</v>
      </c>
      <c r="B23" s="14" t="s">
        <v>587</v>
      </c>
      <c r="C23" s="19" t="s">
        <v>372</v>
      </c>
      <c r="D23" s="19">
        <v>1960</v>
      </c>
      <c r="E23" s="19">
        <v>5</v>
      </c>
      <c r="F23" s="19">
        <v>2</v>
      </c>
      <c r="G23" s="19">
        <v>1605.3</v>
      </c>
      <c r="H23" s="19">
        <v>1605.3</v>
      </c>
      <c r="I23" s="19">
        <v>1038.9000000000001</v>
      </c>
      <c r="J23" s="19" t="s">
        <v>364</v>
      </c>
      <c r="K23" s="15" t="s">
        <v>365</v>
      </c>
      <c r="L23" s="19" t="s">
        <v>366</v>
      </c>
      <c r="M23" s="19"/>
      <c r="N23" s="28"/>
      <c r="O23" s="28" t="s">
        <v>374</v>
      </c>
      <c r="P23" s="28"/>
      <c r="Q23" s="28"/>
      <c r="R23" s="28"/>
      <c r="S23" s="28"/>
      <c r="T23" s="28"/>
      <c r="U23" s="28"/>
      <c r="V23" s="28"/>
      <c r="W23" s="28"/>
      <c r="X23" s="28"/>
      <c r="Y23" s="28">
        <v>1323903.43</v>
      </c>
      <c r="Z23" s="28"/>
      <c r="AA23" s="28">
        <f>Y23+Z23</f>
        <v>1323903.43</v>
      </c>
      <c r="AB23" s="28"/>
      <c r="AC23" s="28"/>
      <c r="AD23" s="28">
        <v>1323903.43</v>
      </c>
      <c r="AE23" s="37"/>
      <c r="AF23" s="19">
        <v>2020</v>
      </c>
      <c r="AG23" s="19">
        <v>2024</v>
      </c>
    </row>
    <row r="24" spans="1:33" ht="84.9" customHeight="1" x14ac:dyDescent="0.45">
      <c r="A24" s="19">
        <v>261</v>
      </c>
      <c r="B24" s="14" t="s">
        <v>587</v>
      </c>
      <c r="C24" s="22" t="s">
        <v>165</v>
      </c>
      <c r="D24" s="19" t="s">
        <v>384</v>
      </c>
      <c r="E24" s="19">
        <v>5</v>
      </c>
      <c r="F24" s="19">
        <v>8</v>
      </c>
      <c r="G24" s="19">
        <v>5793.5</v>
      </c>
      <c r="H24" s="19">
        <v>5775.3</v>
      </c>
      <c r="I24" s="19">
        <v>5775.3</v>
      </c>
      <c r="J24" s="19">
        <v>293</v>
      </c>
      <c r="K24" s="15" t="s">
        <v>365</v>
      </c>
      <c r="L24" s="19" t="s">
        <v>366</v>
      </c>
      <c r="M24" s="19"/>
      <c r="N24" s="28"/>
      <c r="O24" s="29">
        <v>2377151.2400000002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>
        <v>124000</v>
      </c>
      <c r="AA24" s="29">
        <f>SUM(O24+Z24)</f>
        <v>2501151.2400000002</v>
      </c>
      <c r="AB24" s="29">
        <f t="shared" ref="AB24:AB44" si="0">AA24</f>
        <v>2501151.2400000002</v>
      </c>
      <c r="AC24" s="28"/>
      <c r="AD24" s="28"/>
      <c r="AE24" s="37"/>
      <c r="AF24" s="22">
        <v>2022</v>
      </c>
      <c r="AG24" s="22">
        <v>2022</v>
      </c>
    </row>
    <row r="25" spans="1:33" ht="84.9" customHeight="1" x14ac:dyDescent="0.45">
      <c r="A25" s="19">
        <v>262</v>
      </c>
      <c r="B25" s="14" t="s">
        <v>587</v>
      </c>
      <c r="C25" s="22" t="s">
        <v>166</v>
      </c>
      <c r="D25" s="19" t="s">
        <v>384</v>
      </c>
      <c r="E25" s="19">
        <v>5</v>
      </c>
      <c r="F25" s="19">
        <v>6</v>
      </c>
      <c r="G25" s="19">
        <v>4799.8999999999996</v>
      </c>
      <c r="H25" s="19">
        <v>4351.8999999999996</v>
      </c>
      <c r="I25" s="19">
        <v>4351.8999999999996</v>
      </c>
      <c r="J25" s="19">
        <v>209</v>
      </c>
      <c r="K25" s="15" t="s">
        <v>365</v>
      </c>
      <c r="L25" s="19" t="s">
        <v>366</v>
      </c>
      <c r="M25" s="19"/>
      <c r="N25" s="28"/>
      <c r="O25" s="29">
        <v>2377151.2400000002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>
        <v>124000</v>
      </c>
      <c r="AA25" s="29">
        <f>SUM(O25+Z25)</f>
        <v>2501151.2400000002</v>
      </c>
      <c r="AB25" s="29">
        <f t="shared" si="0"/>
        <v>2501151.2400000002</v>
      </c>
      <c r="AC25" s="28"/>
      <c r="AD25" s="28"/>
      <c r="AE25" s="37"/>
      <c r="AF25" s="22">
        <v>2022</v>
      </c>
      <c r="AG25" s="22">
        <v>2022</v>
      </c>
    </row>
    <row r="26" spans="1:33" ht="84.9" customHeight="1" x14ac:dyDescent="0.45">
      <c r="A26" s="19">
        <v>263</v>
      </c>
      <c r="B26" s="14" t="s">
        <v>587</v>
      </c>
      <c r="C26" s="22" t="s">
        <v>167</v>
      </c>
      <c r="D26" s="19">
        <v>1971</v>
      </c>
      <c r="E26" s="19">
        <v>9</v>
      </c>
      <c r="F26" s="19">
        <v>2</v>
      </c>
      <c r="G26" s="19" t="s">
        <v>386</v>
      </c>
      <c r="H26" s="19">
        <v>3827.7</v>
      </c>
      <c r="I26" s="19">
        <v>3827.7</v>
      </c>
      <c r="J26" s="19">
        <v>160</v>
      </c>
      <c r="K26" s="15" t="s">
        <v>365</v>
      </c>
      <c r="L26" s="19" t="s">
        <v>366</v>
      </c>
      <c r="M26" s="19"/>
      <c r="N26" s="28"/>
      <c r="O26" s="29">
        <v>2377151.2400000002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>
        <v>124000</v>
      </c>
      <c r="AA26" s="29">
        <f>SUM(O26+Z26)</f>
        <v>2501151.2400000002</v>
      </c>
      <c r="AB26" s="29">
        <f t="shared" si="0"/>
        <v>2501151.2400000002</v>
      </c>
      <c r="AC26" s="28"/>
      <c r="AD26" s="28"/>
      <c r="AE26" s="37"/>
      <c r="AF26" s="22">
        <v>2022</v>
      </c>
      <c r="AG26" s="22">
        <v>2022</v>
      </c>
    </row>
    <row r="27" spans="1:33" ht="84.9" customHeight="1" x14ac:dyDescent="0.45">
      <c r="A27" s="19">
        <v>264</v>
      </c>
      <c r="B27" s="14" t="s">
        <v>587</v>
      </c>
      <c r="C27" s="22" t="s">
        <v>168</v>
      </c>
      <c r="D27" s="19">
        <v>1971</v>
      </c>
      <c r="E27" s="19">
        <v>9</v>
      </c>
      <c r="F27" s="19">
        <v>2</v>
      </c>
      <c r="G27" s="19">
        <v>3912.3</v>
      </c>
      <c r="H27" s="19">
        <v>3847.8</v>
      </c>
      <c r="I27" s="19">
        <v>3847.8</v>
      </c>
      <c r="J27" s="19">
        <v>174</v>
      </c>
      <c r="K27" s="15" t="s">
        <v>365</v>
      </c>
      <c r="L27" s="19" t="s">
        <v>366</v>
      </c>
      <c r="M27" s="19"/>
      <c r="N27" s="28"/>
      <c r="O27" s="29">
        <v>2377151.2400000002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>
        <v>124000</v>
      </c>
      <c r="AA27" s="29">
        <f t="shared" ref="AA27:AA44" si="1">SUM(O27+Z27)</f>
        <v>2501151.2400000002</v>
      </c>
      <c r="AB27" s="29">
        <f t="shared" si="0"/>
        <v>2501151.2400000002</v>
      </c>
      <c r="AC27" s="28"/>
      <c r="AD27" s="28"/>
      <c r="AE27" s="37"/>
      <c r="AF27" s="22">
        <v>2022</v>
      </c>
      <c r="AG27" s="22">
        <v>2022</v>
      </c>
    </row>
    <row r="28" spans="1:33" ht="84.9" customHeight="1" x14ac:dyDescent="0.45">
      <c r="A28" s="19">
        <v>265</v>
      </c>
      <c r="B28" s="14" t="s">
        <v>587</v>
      </c>
      <c r="C28" s="22" t="s">
        <v>169</v>
      </c>
      <c r="D28" s="19">
        <v>1960</v>
      </c>
      <c r="E28" s="19">
        <v>5</v>
      </c>
      <c r="F28" s="19">
        <v>4</v>
      </c>
      <c r="G28" s="19">
        <v>3186.3</v>
      </c>
      <c r="H28" s="19">
        <v>3034.5</v>
      </c>
      <c r="I28" s="19">
        <v>3034.5</v>
      </c>
      <c r="J28" s="19">
        <v>147</v>
      </c>
      <c r="K28" s="15" t="s">
        <v>365</v>
      </c>
      <c r="L28" s="19" t="s">
        <v>366</v>
      </c>
      <c r="M28" s="19"/>
      <c r="N28" s="28"/>
      <c r="O28" s="29">
        <v>2377151.2400000002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>
        <v>124000</v>
      </c>
      <c r="AA28" s="29">
        <f t="shared" si="1"/>
        <v>2501151.2400000002</v>
      </c>
      <c r="AB28" s="29">
        <f t="shared" si="0"/>
        <v>2501151.2400000002</v>
      </c>
      <c r="AC28" s="28"/>
      <c r="AD28" s="28"/>
      <c r="AE28" s="37"/>
      <c r="AF28" s="22">
        <v>2022</v>
      </c>
      <c r="AG28" s="22">
        <v>2022</v>
      </c>
    </row>
    <row r="29" spans="1:33" ht="84.9" customHeight="1" x14ac:dyDescent="0.45">
      <c r="A29" s="19">
        <v>266</v>
      </c>
      <c r="B29" s="14" t="s">
        <v>587</v>
      </c>
      <c r="C29" s="22" t="s">
        <v>170</v>
      </c>
      <c r="D29" s="19">
        <v>1966</v>
      </c>
      <c r="E29" s="19">
        <v>5</v>
      </c>
      <c r="F29" s="19">
        <v>6</v>
      </c>
      <c r="G29" s="19">
        <v>4387.3</v>
      </c>
      <c r="H29" s="19">
        <v>4370</v>
      </c>
      <c r="I29" s="19">
        <v>4370</v>
      </c>
      <c r="J29" s="19">
        <v>230</v>
      </c>
      <c r="K29" s="15" t="s">
        <v>365</v>
      </c>
      <c r="L29" s="19" t="s">
        <v>366</v>
      </c>
      <c r="M29" s="19"/>
      <c r="N29" s="28"/>
      <c r="O29" s="29">
        <v>2377151.2400000002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9">
        <v>124000</v>
      </c>
      <c r="AA29" s="29">
        <f t="shared" si="1"/>
        <v>2501151.2400000002</v>
      </c>
      <c r="AB29" s="29">
        <f t="shared" si="0"/>
        <v>2501151.2400000002</v>
      </c>
      <c r="AC29" s="28"/>
      <c r="AD29" s="28"/>
      <c r="AE29" s="37"/>
      <c r="AF29" s="22">
        <v>2022</v>
      </c>
      <c r="AG29" s="22">
        <v>2022</v>
      </c>
    </row>
    <row r="30" spans="1:33" ht="84.9" customHeight="1" x14ac:dyDescent="0.45">
      <c r="A30" s="19">
        <v>267</v>
      </c>
      <c r="B30" s="14" t="s">
        <v>587</v>
      </c>
      <c r="C30" s="22" t="s">
        <v>171</v>
      </c>
      <c r="D30" s="19">
        <v>1970</v>
      </c>
      <c r="E30" s="19">
        <v>5</v>
      </c>
      <c r="F30" s="19">
        <v>5</v>
      </c>
      <c r="G30" s="19">
        <v>3330.1</v>
      </c>
      <c r="H30" s="19">
        <v>3329.8</v>
      </c>
      <c r="I30" s="19">
        <v>3313.1</v>
      </c>
      <c r="J30" s="19">
        <v>164</v>
      </c>
      <c r="K30" s="15" t="s">
        <v>365</v>
      </c>
      <c r="L30" s="19" t="s">
        <v>366</v>
      </c>
      <c r="M30" s="19"/>
      <c r="N30" s="28"/>
      <c r="O30" s="29">
        <v>2377151.2400000002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>
        <v>124000</v>
      </c>
      <c r="AA30" s="29">
        <f t="shared" si="1"/>
        <v>2501151.2400000002</v>
      </c>
      <c r="AB30" s="29">
        <f t="shared" si="0"/>
        <v>2501151.2400000002</v>
      </c>
      <c r="AC30" s="28"/>
      <c r="AD30" s="28"/>
      <c r="AE30" s="37"/>
      <c r="AF30" s="22">
        <v>2022</v>
      </c>
      <c r="AG30" s="22">
        <v>2022</v>
      </c>
    </row>
    <row r="31" spans="1:33" ht="84.9" customHeight="1" x14ac:dyDescent="0.45">
      <c r="A31" s="19">
        <v>268</v>
      </c>
      <c r="B31" s="14" t="s">
        <v>587</v>
      </c>
      <c r="C31" s="22" t="s">
        <v>172</v>
      </c>
      <c r="D31" s="19">
        <v>1970</v>
      </c>
      <c r="E31" s="19">
        <v>5</v>
      </c>
      <c r="F31" s="19">
        <v>6</v>
      </c>
      <c r="G31" s="19">
        <v>4510.5</v>
      </c>
      <c r="H31" s="19">
        <v>4498.3</v>
      </c>
      <c r="I31" s="19">
        <v>4498.3</v>
      </c>
      <c r="J31" s="19">
        <v>223</v>
      </c>
      <c r="K31" s="15" t="s">
        <v>365</v>
      </c>
      <c r="L31" s="19" t="s">
        <v>366</v>
      </c>
      <c r="M31" s="19"/>
      <c r="N31" s="28"/>
      <c r="O31" s="29">
        <v>2377151.2400000002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>
        <v>124000</v>
      </c>
      <c r="AA31" s="29">
        <f t="shared" si="1"/>
        <v>2501151.2400000002</v>
      </c>
      <c r="AB31" s="29">
        <f t="shared" si="0"/>
        <v>2501151.2400000002</v>
      </c>
      <c r="AC31" s="28"/>
      <c r="AD31" s="28"/>
      <c r="AE31" s="37"/>
      <c r="AF31" s="22">
        <v>2022</v>
      </c>
      <c r="AG31" s="22">
        <v>2022</v>
      </c>
    </row>
    <row r="32" spans="1:33" ht="84.9" customHeight="1" x14ac:dyDescent="0.45">
      <c r="A32" s="19">
        <v>269</v>
      </c>
      <c r="B32" s="14" t="s">
        <v>587</v>
      </c>
      <c r="C32" s="22" t="s">
        <v>173</v>
      </c>
      <c r="D32" s="19" t="s">
        <v>388</v>
      </c>
      <c r="E32" s="19">
        <v>5</v>
      </c>
      <c r="F32" s="19">
        <v>5</v>
      </c>
      <c r="G32" s="19">
        <v>3424.9</v>
      </c>
      <c r="H32" s="19">
        <v>3424.8</v>
      </c>
      <c r="I32" s="19">
        <v>3408.5</v>
      </c>
      <c r="J32" s="19" t="s">
        <v>389</v>
      </c>
      <c r="K32" s="15" t="s">
        <v>365</v>
      </c>
      <c r="L32" s="19" t="s">
        <v>366</v>
      </c>
      <c r="M32" s="19"/>
      <c r="N32" s="28"/>
      <c r="O32" s="29">
        <v>2377151.2400000002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9">
        <v>124000</v>
      </c>
      <c r="AA32" s="29">
        <f t="shared" si="1"/>
        <v>2501151.2400000002</v>
      </c>
      <c r="AB32" s="29">
        <f t="shared" si="0"/>
        <v>2501151.2400000002</v>
      </c>
      <c r="AC32" s="28"/>
      <c r="AD32" s="28"/>
      <c r="AE32" s="37"/>
      <c r="AF32" s="22">
        <v>2022</v>
      </c>
      <c r="AG32" s="22">
        <v>2022</v>
      </c>
    </row>
    <row r="33" spans="1:33" ht="84.9" customHeight="1" x14ac:dyDescent="0.45">
      <c r="A33" s="19">
        <v>270</v>
      </c>
      <c r="B33" s="14" t="s">
        <v>587</v>
      </c>
      <c r="C33" s="22" t="s">
        <v>174</v>
      </c>
      <c r="D33" s="19">
        <v>1970</v>
      </c>
      <c r="E33" s="19">
        <v>5</v>
      </c>
      <c r="F33" s="19">
        <v>7</v>
      </c>
      <c r="G33" s="19">
        <v>5072</v>
      </c>
      <c r="H33" s="19">
        <v>5026.8</v>
      </c>
      <c r="I33" s="19">
        <v>5009.6000000000004</v>
      </c>
      <c r="J33" s="19">
        <v>252</v>
      </c>
      <c r="K33" s="15" t="s">
        <v>365</v>
      </c>
      <c r="L33" s="19" t="s">
        <v>366</v>
      </c>
      <c r="M33" s="19"/>
      <c r="N33" s="28"/>
      <c r="O33" s="29">
        <v>2377151.2400000002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>
        <v>124000</v>
      </c>
      <c r="AA33" s="29">
        <f t="shared" si="1"/>
        <v>2501151.2400000002</v>
      </c>
      <c r="AB33" s="29">
        <f t="shared" si="0"/>
        <v>2501151.2400000002</v>
      </c>
      <c r="AC33" s="28"/>
      <c r="AD33" s="28"/>
      <c r="AE33" s="37"/>
      <c r="AF33" s="22">
        <v>2022</v>
      </c>
      <c r="AG33" s="22">
        <v>2022</v>
      </c>
    </row>
    <row r="34" spans="1:33" ht="84.9" customHeight="1" x14ac:dyDescent="0.45">
      <c r="A34" s="19">
        <v>271</v>
      </c>
      <c r="B34" s="14" t="s">
        <v>587</v>
      </c>
      <c r="C34" s="22" t="s">
        <v>175</v>
      </c>
      <c r="D34" s="19">
        <v>1970</v>
      </c>
      <c r="E34" s="19">
        <v>5</v>
      </c>
      <c r="F34" s="19">
        <v>4</v>
      </c>
      <c r="G34" s="19">
        <v>3224.3</v>
      </c>
      <c r="H34" s="19">
        <v>3077.3</v>
      </c>
      <c r="I34" s="19">
        <v>2797</v>
      </c>
      <c r="J34" s="19">
        <v>132</v>
      </c>
      <c r="K34" s="15" t="s">
        <v>365</v>
      </c>
      <c r="L34" s="19" t="s">
        <v>366</v>
      </c>
      <c r="M34" s="19"/>
      <c r="N34" s="28"/>
      <c r="O34" s="29">
        <v>2377151.2400000002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>
        <v>124000</v>
      </c>
      <c r="AA34" s="29">
        <f t="shared" si="1"/>
        <v>2501151.2400000002</v>
      </c>
      <c r="AB34" s="29">
        <f t="shared" si="0"/>
        <v>2501151.2400000002</v>
      </c>
      <c r="AC34" s="28"/>
      <c r="AD34" s="28"/>
      <c r="AE34" s="37"/>
      <c r="AF34" s="22">
        <v>2022</v>
      </c>
      <c r="AG34" s="22">
        <v>2022</v>
      </c>
    </row>
    <row r="35" spans="1:33" ht="84.9" customHeight="1" x14ac:dyDescent="0.45">
      <c r="A35" s="19">
        <v>272</v>
      </c>
      <c r="B35" s="14" t="s">
        <v>587</v>
      </c>
      <c r="C35" s="22" t="s">
        <v>176</v>
      </c>
      <c r="D35" s="19">
        <v>1971</v>
      </c>
      <c r="E35" s="19">
        <v>5</v>
      </c>
      <c r="F35" s="19">
        <v>7</v>
      </c>
      <c r="G35" s="19">
        <v>5029.3</v>
      </c>
      <c r="H35" s="19">
        <v>5026.2</v>
      </c>
      <c r="I35" s="19">
        <v>5008.7</v>
      </c>
      <c r="J35" s="19">
        <v>263</v>
      </c>
      <c r="K35" s="15" t="s">
        <v>365</v>
      </c>
      <c r="L35" s="19" t="s">
        <v>366</v>
      </c>
      <c r="M35" s="19"/>
      <c r="N35" s="28"/>
      <c r="O35" s="29">
        <v>2377151.2400000002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>
        <v>124000</v>
      </c>
      <c r="AA35" s="29">
        <f t="shared" si="1"/>
        <v>2501151.2400000002</v>
      </c>
      <c r="AB35" s="29">
        <f t="shared" si="0"/>
        <v>2501151.2400000002</v>
      </c>
      <c r="AC35" s="28"/>
      <c r="AD35" s="28"/>
      <c r="AE35" s="37"/>
      <c r="AF35" s="22">
        <v>2022</v>
      </c>
      <c r="AG35" s="22">
        <v>2022</v>
      </c>
    </row>
    <row r="36" spans="1:33" ht="84.9" customHeight="1" x14ac:dyDescent="0.45">
      <c r="A36" s="19">
        <v>273</v>
      </c>
      <c r="B36" s="14" t="s">
        <v>587</v>
      </c>
      <c r="C36" s="22" t="s">
        <v>177</v>
      </c>
      <c r="D36" s="19">
        <v>1970</v>
      </c>
      <c r="E36" s="19">
        <v>5</v>
      </c>
      <c r="F36" s="19">
        <v>4</v>
      </c>
      <c r="G36" s="19">
        <v>2743.4</v>
      </c>
      <c r="H36" s="19">
        <v>2726.2</v>
      </c>
      <c r="I36" s="19">
        <v>2726.2</v>
      </c>
      <c r="J36" s="19">
        <v>140</v>
      </c>
      <c r="K36" s="15" t="s">
        <v>365</v>
      </c>
      <c r="L36" s="19" t="s">
        <v>366</v>
      </c>
      <c r="M36" s="19"/>
      <c r="N36" s="28"/>
      <c r="O36" s="29">
        <v>2377151.2400000002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>
        <v>124000</v>
      </c>
      <c r="AA36" s="29">
        <f t="shared" si="1"/>
        <v>2501151.2400000002</v>
      </c>
      <c r="AB36" s="29">
        <f t="shared" si="0"/>
        <v>2501151.2400000002</v>
      </c>
      <c r="AC36" s="28"/>
      <c r="AD36" s="28"/>
      <c r="AE36" s="37"/>
      <c r="AF36" s="22">
        <v>2022</v>
      </c>
      <c r="AG36" s="22">
        <v>2022</v>
      </c>
    </row>
    <row r="37" spans="1:33" ht="84.9" customHeight="1" x14ac:dyDescent="0.45">
      <c r="A37" s="19">
        <v>274</v>
      </c>
      <c r="B37" s="14" t="s">
        <v>587</v>
      </c>
      <c r="C37" s="22" t="s">
        <v>178</v>
      </c>
      <c r="D37" s="19">
        <v>1972</v>
      </c>
      <c r="E37" s="19">
        <v>5</v>
      </c>
      <c r="F37" s="19">
        <v>1</v>
      </c>
      <c r="G37" s="19">
        <v>610.1</v>
      </c>
      <c r="H37" s="19">
        <v>609.79999999999995</v>
      </c>
      <c r="I37" s="19">
        <v>572.5</v>
      </c>
      <c r="J37" s="19">
        <v>22</v>
      </c>
      <c r="K37" s="15" t="s">
        <v>365</v>
      </c>
      <c r="L37" s="19" t="s">
        <v>366</v>
      </c>
      <c r="M37" s="19"/>
      <c r="N37" s="28"/>
      <c r="O37" s="29">
        <v>2377151.2400000002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>
        <v>124000</v>
      </c>
      <c r="AA37" s="29">
        <f t="shared" si="1"/>
        <v>2501151.2400000002</v>
      </c>
      <c r="AB37" s="29">
        <f t="shared" si="0"/>
        <v>2501151.2400000002</v>
      </c>
      <c r="AC37" s="28"/>
      <c r="AD37" s="28"/>
      <c r="AE37" s="37"/>
      <c r="AF37" s="22">
        <v>2022</v>
      </c>
      <c r="AG37" s="22">
        <v>2022</v>
      </c>
    </row>
    <row r="38" spans="1:33" ht="84.9" customHeight="1" x14ac:dyDescent="0.45">
      <c r="A38" s="19">
        <v>275</v>
      </c>
      <c r="B38" s="14" t="s">
        <v>587</v>
      </c>
      <c r="C38" s="22" t="s">
        <v>179</v>
      </c>
      <c r="D38" s="19">
        <v>1971</v>
      </c>
      <c r="E38" s="19">
        <v>5</v>
      </c>
      <c r="F38" s="19">
        <v>6</v>
      </c>
      <c r="G38" s="19">
        <v>4518.5</v>
      </c>
      <c r="H38" s="19">
        <v>3146.7</v>
      </c>
      <c r="I38" s="19">
        <v>3010.7</v>
      </c>
      <c r="J38" s="19">
        <v>229</v>
      </c>
      <c r="K38" s="15" t="s">
        <v>365</v>
      </c>
      <c r="L38" s="19" t="s">
        <v>366</v>
      </c>
      <c r="M38" s="19"/>
      <c r="N38" s="28"/>
      <c r="O38" s="29">
        <v>2377151.2400000002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9">
        <v>124000</v>
      </c>
      <c r="AA38" s="29">
        <f t="shared" si="1"/>
        <v>2501151.2400000002</v>
      </c>
      <c r="AB38" s="29">
        <f t="shared" si="0"/>
        <v>2501151.2400000002</v>
      </c>
      <c r="AC38" s="28"/>
      <c r="AD38" s="28"/>
      <c r="AE38" s="37"/>
      <c r="AF38" s="22">
        <v>2022</v>
      </c>
      <c r="AG38" s="22">
        <v>2022</v>
      </c>
    </row>
    <row r="39" spans="1:33" ht="84.9" customHeight="1" x14ac:dyDescent="0.45">
      <c r="A39" s="19">
        <v>276</v>
      </c>
      <c r="B39" s="14" t="s">
        <v>587</v>
      </c>
      <c r="C39" s="22" t="s">
        <v>180</v>
      </c>
      <c r="D39" s="19">
        <v>1974</v>
      </c>
      <c r="E39" s="19">
        <v>9</v>
      </c>
      <c r="F39" s="19">
        <v>2</v>
      </c>
      <c r="G39" s="19">
        <v>4733.8</v>
      </c>
      <c r="H39" s="19">
        <v>4103</v>
      </c>
      <c r="I39" s="19">
        <v>3956.9</v>
      </c>
      <c r="J39" s="19">
        <v>158</v>
      </c>
      <c r="K39" s="15" t="s">
        <v>365</v>
      </c>
      <c r="L39" s="19" t="s">
        <v>366</v>
      </c>
      <c r="M39" s="19"/>
      <c r="N39" s="28"/>
      <c r="O39" s="29">
        <v>2377151.2400000002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9">
        <v>124000</v>
      </c>
      <c r="AA39" s="29">
        <f t="shared" si="1"/>
        <v>2501151.2400000002</v>
      </c>
      <c r="AB39" s="29">
        <f t="shared" si="0"/>
        <v>2501151.2400000002</v>
      </c>
      <c r="AC39" s="28"/>
      <c r="AD39" s="28"/>
      <c r="AE39" s="37"/>
      <c r="AF39" s="22">
        <v>2022</v>
      </c>
      <c r="AG39" s="22">
        <v>2022</v>
      </c>
    </row>
    <row r="40" spans="1:33" ht="84.9" customHeight="1" x14ac:dyDescent="0.45">
      <c r="A40" s="19">
        <v>277</v>
      </c>
      <c r="B40" s="19" t="s">
        <v>587</v>
      </c>
      <c r="C40" s="22" t="s">
        <v>181</v>
      </c>
      <c r="D40" s="19">
        <v>1966</v>
      </c>
      <c r="E40" s="19">
        <v>5</v>
      </c>
      <c r="F40" s="19">
        <v>4</v>
      </c>
      <c r="G40" s="19">
        <v>2830.7</v>
      </c>
      <c r="H40" s="19">
        <v>2830.2</v>
      </c>
      <c r="I40" s="19">
        <v>2736.2</v>
      </c>
      <c r="J40" s="19">
        <v>120</v>
      </c>
      <c r="K40" s="15" t="s">
        <v>365</v>
      </c>
      <c r="L40" s="19" t="s">
        <v>366</v>
      </c>
      <c r="M40" s="19"/>
      <c r="N40" s="28"/>
      <c r="O40" s="29">
        <v>2377151.2400000002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>
        <v>124000</v>
      </c>
      <c r="AA40" s="29">
        <f t="shared" si="1"/>
        <v>2501151.2400000002</v>
      </c>
      <c r="AB40" s="29">
        <f t="shared" si="0"/>
        <v>2501151.2400000002</v>
      </c>
      <c r="AC40" s="28"/>
      <c r="AD40" s="28"/>
      <c r="AE40" s="37"/>
      <c r="AF40" s="22">
        <v>2022</v>
      </c>
      <c r="AG40" s="22">
        <v>2022</v>
      </c>
    </row>
    <row r="41" spans="1:33" ht="84.9" customHeight="1" x14ac:dyDescent="0.45">
      <c r="A41" s="19">
        <v>278</v>
      </c>
      <c r="B41" s="19" t="s">
        <v>587</v>
      </c>
      <c r="C41" s="22" t="s">
        <v>182</v>
      </c>
      <c r="D41" s="19">
        <v>1966</v>
      </c>
      <c r="E41" s="19">
        <v>5</v>
      </c>
      <c r="F41" s="19">
        <v>4</v>
      </c>
      <c r="G41" s="19">
        <v>2736.7</v>
      </c>
      <c r="H41" s="19">
        <v>2704.3</v>
      </c>
      <c r="I41" s="19">
        <v>2704.3</v>
      </c>
      <c r="J41" s="19">
        <v>113</v>
      </c>
      <c r="K41" s="15" t="s">
        <v>365</v>
      </c>
      <c r="L41" s="19" t="s">
        <v>366</v>
      </c>
      <c r="M41" s="19"/>
      <c r="N41" s="28"/>
      <c r="O41" s="29">
        <v>2377151.2400000002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9">
        <v>124000</v>
      </c>
      <c r="AA41" s="29">
        <f t="shared" si="1"/>
        <v>2501151.2400000002</v>
      </c>
      <c r="AB41" s="29">
        <f t="shared" si="0"/>
        <v>2501151.2400000002</v>
      </c>
      <c r="AC41" s="28"/>
      <c r="AD41" s="28"/>
      <c r="AE41" s="37"/>
      <c r="AF41" s="22">
        <v>2022</v>
      </c>
      <c r="AG41" s="22">
        <v>2022</v>
      </c>
    </row>
    <row r="42" spans="1:33" ht="84.9" customHeight="1" x14ac:dyDescent="0.45">
      <c r="A42" s="19">
        <v>279</v>
      </c>
      <c r="B42" s="19" t="s">
        <v>587</v>
      </c>
      <c r="C42" s="22" t="s">
        <v>183</v>
      </c>
      <c r="D42" s="19" t="s">
        <v>390</v>
      </c>
      <c r="E42" s="19">
        <v>5</v>
      </c>
      <c r="F42" s="19">
        <v>4</v>
      </c>
      <c r="G42" s="19">
        <v>2731.9</v>
      </c>
      <c r="H42" s="19">
        <v>2717.9</v>
      </c>
      <c r="I42" s="19">
        <v>2717.9</v>
      </c>
      <c r="J42" s="19" t="s">
        <v>391</v>
      </c>
      <c r="K42" s="15" t="s">
        <v>365</v>
      </c>
      <c r="L42" s="19" t="s">
        <v>366</v>
      </c>
      <c r="M42" s="19"/>
      <c r="N42" s="28"/>
      <c r="O42" s="29">
        <v>2377151.2400000002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9">
        <v>124000</v>
      </c>
      <c r="AA42" s="29">
        <f t="shared" si="1"/>
        <v>2501151.2400000002</v>
      </c>
      <c r="AB42" s="29">
        <f t="shared" si="0"/>
        <v>2501151.2400000002</v>
      </c>
      <c r="AC42" s="28"/>
      <c r="AD42" s="28"/>
      <c r="AE42" s="37"/>
      <c r="AF42" s="22">
        <v>2022</v>
      </c>
      <c r="AG42" s="22">
        <v>2022</v>
      </c>
    </row>
    <row r="43" spans="1:33" ht="84.9" customHeight="1" x14ac:dyDescent="0.45">
      <c r="A43" s="19">
        <v>280</v>
      </c>
      <c r="B43" s="19" t="s">
        <v>587</v>
      </c>
      <c r="C43" s="22" t="s">
        <v>184</v>
      </c>
      <c r="D43" s="19" t="s">
        <v>384</v>
      </c>
      <c r="E43" s="19">
        <v>5</v>
      </c>
      <c r="F43" s="19">
        <v>8</v>
      </c>
      <c r="G43" s="19">
        <v>5811.1</v>
      </c>
      <c r="H43" s="19">
        <v>5621.7</v>
      </c>
      <c r="I43" s="19">
        <v>5621.7</v>
      </c>
      <c r="J43" s="19">
        <v>290</v>
      </c>
      <c r="K43" s="15" t="s">
        <v>365</v>
      </c>
      <c r="L43" s="19" t="s">
        <v>366</v>
      </c>
      <c r="M43" s="19"/>
      <c r="N43" s="28"/>
      <c r="O43" s="29">
        <v>2377151.2400000002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>
        <v>124000</v>
      </c>
      <c r="AA43" s="29">
        <f t="shared" si="1"/>
        <v>2501151.2400000002</v>
      </c>
      <c r="AB43" s="29">
        <f t="shared" si="0"/>
        <v>2501151.2400000002</v>
      </c>
      <c r="AC43" s="28"/>
      <c r="AD43" s="28"/>
      <c r="AE43" s="37"/>
      <c r="AF43" s="22">
        <v>2022</v>
      </c>
      <c r="AG43" s="22">
        <v>2022</v>
      </c>
    </row>
    <row r="44" spans="1:33" ht="84.9" customHeight="1" x14ac:dyDescent="0.45">
      <c r="A44" s="19">
        <v>281</v>
      </c>
      <c r="B44" s="19" t="s">
        <v>587</v>
      </c>
      <c r="C44" s="22" t="s">
        <v>185</v>
      </c>
      <c r="D44" s="19" t="s">
        <v>392</v>
      </c>
      <c r="E44" s="19">
        <v>9</v>
      </c>
      <c r="F44" s="19">
        <v>2</v>
      </c>
      <c r="G44" s="19">
        <v>3836.2</v>
      </c>
      <c r="H44" s="19">
        <v>3834.9</v>
      </c>
      <c r="I44" s="19">
        <v>3817.5</v>
      </c>
      <c r="J44" s="19">
        <v>164</v>
      </c>
      <c r="K44" s="15" t="s">
        <v>365</v>
      </c>
      <c r="L44" s="19" t="s">
        <v>366</v>
      </c>
      <c r="M44" s="19"/>
      <c r="N44" s="28"/>
      <c r="O44" s="29">
        <v>2377151.2400000002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9">
        <v>124000</v>
      </c>
      <c r="AA44" s="29">
        <f t="shared" si="1"/>
        <v>2501151.2400000002</v>
      </c>
      <c r="AB44" s="29">
        <f t="shared" si="0"/>
        <v>2501151.2400000002</v>
      </c>
      <c r="AC44" s="28"/>
      <c r="AD44" s="28"/>
      <c r="AE44" s="37"/>
      <c r="AF44" s="22">
        <v>2022</v>
      </c>
      <c r="AG44" s="22">
        <v>2022</v>
      </c>
    </row>
    <row r="45" spans="1:33" ht="84.9" customHeight="1" x14ac:dyDescent="0.45">
      <c r="A45" s="19">
        <v>282</v>
      </c>
      <c r="B45" s="19" t="s">
        <v>587</v>
      </c>
      <c r="C45" s="19" t="s">
        <v>375</v>
      </c>
      <c r="D45" s="19">
        <v>1970</v>
      </c>
      <c r="E45" s="19">
        <v>5</v>
      </c>
      <c r="F45" s="19">
        <v>6</v>
      </c>
      <c r="G45" s="19">
        <v>4397.6000000000004</v>
      </c>
      <c r="H45" s="19">
        <v>4380.5</v>
      </c>
      <c r="I45" s="19">
        <v>4379.8</v>
      </c>
      <c r="J45" s="19">
        <v>210</v>
      </c>
      <c r="K45" s="15" t="s">
        <v>365</v>
      </c>
      <c r="L45" s="19" t="s">
        <v>366</v>
      </c>
      <c r="M45" s="19"/>
      <c r="N45" s="28"/>
      <c r="O45" s="28"/>
      <c r="P45" s="28"/>
      <c r="Q45" s="28"/>
      <c r="R45" s="28"/>
      <c r="S45" s="28"/>
      <c r="T45" s="28"/>
      <c r="U45" s="28"/>
      <c r="V45" s="28">
        <f>ROUND(H45*3517.3*1.015,2)</f>
        <v>15638645.640000001</v>
      </c>
      <c r="W45" s="28"/>
      <c r="X45" s="28"/>
      <c r="Y45" s="28"/>
      <c r="Z45" s="28">
        <v>742257.6</v>
      </c>
      <c r="AA45" s="28">
        <f>SUM(V45+Z45)</f>
        <v>16380903.24</v>
      </c>
      <c r="AB45" s="28"/>
      <c r="AC45" s="28"/>
      <c r="AD45" s="28">
        <f>SUM(V45+Z45)</f>
        <v>16380903.24</v>
      </c>
      <c r="AE45" s="37"/>
      <c r="AF45" s="19">
        <v>2022</v>
      </c>
      <c r="AG45" s="19">
        <v>2022</v>
      </c>
    </row>
    <row r="46" spans="1:33" ht="84.9" customHeight="1" x14ac:dyDescent="0.45">
      <c r="A46" s="19">
        <v>283</v>
      </c>
      <c r="B46" s="19" t="s">
        <v>587</v>
      </c>
      <c r="C46" s="19" t="s">
        <v>377</v>
      </c>
      <c r="D46" s="19">
        <v>1990</v>
      </c>
      <c r="E46" s="19">
        <v>9</v>
      </c>
      <c r="F46" s="19">
        <v>4</v>
      </c>
      <c r="G46" s="23">
        <v>9668.5</v>
      </c>
      <c r="H46" s="23">
        <v>9393.5</v>
      </c>
      <c r="I46" s="23" t="s">
        <v>364</v>
      </c>
      <c r="J46" s="19" t="s">
        <v>364</v>
      </c>
      <c r="K46" s="15" t="s">
        <v>365</v>
      </c>
      <c r="L46" s="19" t="s">
        <v>366</v>
      </c>
      <c r="M46" s="19"/>
      <c r="N46" s="28"/>
      <c r="O46" s="28"/>
      <c r="P46" s="28"/>
      <c r="Q46" s="28"/>
      <c r="R46" s="28"/>
      <c r="S46" s="28"/>
      <c r="T46" s="28"/>
      <c r="U46" s="28"/>
      <c r="V46" s="28">
        <v>18250467.23</v>
      </c>
      <c r="W46" s="28"/>
      <c r="X46" s="28"/>
      <c r="Y46" s="28"/>
      <c r="Z46" s="28">
        <v>655244.74</v>
      </c>
      <c r="AA46" s="28">
        <f>SUM(V46+Z46)</f>
        <v>18905711.969999999</v>
      </c>
      <c r="AB46" s="28"/>
      <c r="AC46" s="28"/>
      <c r="AD46" s="28">
        <f>SUM(N46:Z46)</f>
        <v>18905711.969999999</v>
      </c>
      <c r="AE46" s="37"/>
      <c r="AF46" s="19">
        <v>2020</v>
      </c>
      <c r="AG46" s="19">
        <v>2022</v>
      </c>
    </row>
    <row r="47" spans="1:33" ht="84.9" customHeight="1" x14ac:dyDescent="0.45">
      <c r="A47" s="19">
        <v>284</v>
      </c>
      <c r="B47" s="19" t="s">
        <v>587</v>
      </c>
      <c r="C47" s="22" t="s">
        <v>187</v>
      </c>
      <c r="D47" s="19" t="s">
        <v>388</v>
      </c>
      <c r="E47" s="19">
        <v>5</v>
      </c>
      <c r="F47" s="19">
        <v>6</v>
      </c>
      <c r="G47" s="23">
        <v>3410.8</v>
      </c>
      <c r="H47" s="23">
        <v>3315.6</v>
      </c>
      <c r="I47" s="23">
        <v>3315.6</v>
      </c>
      <c r="J47" s="19">
        <v>153</v>
      </c>
      <c r="K47" s="15" t="s">
        <v>365</v>
      </c>
      <c r="L47" s="19" t="s">
        <v>366</v>
      </c>
      <c r="M47" s="19"/>
      <c r="N47" s="28"/>
      <c r="O47" s="29">
        <v>4754302.4800000004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>
        <v>248000</v>
      </c>
      <c r="AA47" s="29">
        <f>SUM(O47+Z47)</f>
        <v>5002302.4800000004</v>
      </c>
      <c r="AB47" s="29">
        <f>AA47</f>
        <v>5002302.4800000004</v>
      </c>
      <c r="AC47" s="28"/>
      <c r="AD47" s="28"/>
      <c r="AE47" s="37"/>
      <c r="AF47" s="22">
        <v>2022</v>
      </c>
      <c r="AG47" s="22">
        <v>2022</v>
      </c>
    </row>
    <row r="48" spans="1:33" ht="84.9" customHeight="1" x14ac:dyDescent="0.45">
      <c r="A48" s="19">
        <v>285</v>
      </c>
      <c r="B48" s="19" t="s">
        <v>587</v>
      </c>
      <c r="C48" s="19" t="s">
        <v>398</v>
      </c>
      <c r="D48" s="19">
        <v>1968</v>
      </c>
      <c r="E48" s="19">
        <v>5</v>
      </c>
      <c r="F48" s="19">
        <v>4</v>
      </c>
      <c r="G48" s="23">
        <v>3031.1</v>
      </c>
      <c r="H48" s="23">
        <v>2906.7</v>
      </c>
      <c r="I48" s="23">
        <v>2880.1</v>
      </c>
      <c r="J48" s="19">
        <v>158</v>
      </c>
      <c r="K48" s="15" t="s">
        <v>365</v>
      </c>
      <c r="L48" s="19" t="s">
        <v>366</v>
      </c>
      <c r="M48" s="19"/>
      <c r="N48" s="28"/>
      <c r="O48" s="28"/>
      <c r="P48" s="28"/>
      <c r="Q48" s="28"/>
      <c r="R48" s="28"/>
      <c r="S48" s="28"/>
      <c r="T48" s="28"/>
      <c r="U48" s="28"/>
      <c r="V48" s="28">
        <f>ROUND(H48*3517.3*1.015,2)</f>
        <v>10377091.949999999</v>
      </c>
      <c r="W48" s="28"/>
      <c r="X48" s="28"/>
      <c r="Y48" s="28"/>
      <c r="Z48" s="28">
        <v>685877.2</v>
      </c>
      <c r="AA48" s="28">
        <f>SUM(V48+Z48)</f>
        <v>11062969.149999999</v>
      </c>
      <c r="AB48" s="28"/>
      <c r="AC48" s="28"/>
      <c r="AD48" s="28">
        <f>SUM(V48:Z48)</f>
        <v>11062969.149999999</v>
      </c>
      <c r="AE48" s="37"/>
      <c r="AF48" s="19">
        <v>2022</v>
      </c>
      <c r="AG48" s="19">
        <v>2022</v>
      </c>
    </row>
    <row r="49" spans="1:33" ht="84.9" customHeight="1" x14ac:dyDescent="0.45">
      <c r="A49" s="19">
        <v>286</v>
      </c>
      <c r="B49" s="19" t="s">
        <v>587</v>
      </c>
      <c r="C49" s="22" t="s">
        <v>188</v>
      </c>
      <c r="D49" s="19">
        <v>1967</v>
      </c>
      <c r="E49" s="19">
        <v>5</v>
      </c>
      <c r="F49" s="19">
        <v>6</v>
      </c>
      <c r="G49" s="23">
        <v>4433.1000000000004</v>
      </c>
      <c r="H49" s="23">
        <v>4401.8</v>
      </c>
      <c r="I49" s="23">
        <v>4401.8</v>
      </c>
      <c r="J49" s="19">
        <v>204</v>
      </c>
      <c r="K49" s="15" t="s">
        <v>365</v>
      </c>
      <c r="L49" s="19" t="s">
        <v>366</v>
      </c>
      <c r="M49" s="19"/>
      <c r="N49" s="28"/>
      <c r="O49" s="29">
        <v>2377151.2400000002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>
        <v>124000</v>
      </c>
      <c r="AA49" s="29">
        <f t="shared" ref="AA49:AA54" si="2">SUM(O49+Z49)</f>
        <v>2501151.2400000002</v>
      </c>
      <c r="AB49" s="29">
        <f t="shared" ref="AB49:AB54" si="3">AA49</f>
        <v>2501151.2400000002</v>
      </c>
      <c r="AC49" s="28"/>
      <c r="AD49" s="28"/>
      <c r="AE49" s="37"/>
      <c r="AF49" s="22">
        <v>2022</v>
      </c>
      <c r="AG49" s="22">
        <v>2022</v>
      </c>
    </row>
    <row r="50" spans="1:33" ht="84.9" customHeight="1" x14ac:dyDescent="0.45">
      <c r="A50" s="19">
        <v>287</v>
      </c>
      <c r="B50" s="19" t="s">
        <v>587</v>
      </c>
      <c r="C50" s="22" t="s">
        <v>189</v>
      </c>
      <c r="D50" s="19">
        <v>1980</v>
      </c>
      <c r="E50" s="19">
        <v>9</v>
      </c>
      <c r="F50" s="19">
        <v>1</v>
      </c>
      <c r="G50" s="23">
        <v>2707</v>
      </c>
      <c r="H50" s="23">
        <v>2398.5</v>
      </c>
      <c r="I50" s="23">
        <v>2343</v>
      </c>
      <c r="J50" s="19">
        <v>113</v>
      </c>
      <c r="K50" s="15" t="s">
        <v>365</v>
      </c>
      <c r="L50" s="19" t="s">
        <v>366</v>
      </c>
      <c r="M50" s="19"/>
      <c r="N50" s="28"/>
      <c r="O50" s="29">
        <v>2377151.2400000002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9">
        <v>124000</v>
      </c>
      <c r="AA50" s="29">
        <f t="shared" si="2"/>
        <v>2501151.2400000002</v>
      </c>
      <c r="AB50" s="29">
        <f t="shared" si="3"/>
        <v>2501151.2400000002</v>
      </c>
      <c r="AC50" s="28"/>
      <c r="AD50" s="28"/>
      <c r="AE50" s="37"/>
      <c r="AF50" s="22">
        <v>2022</v>
      </c>
      <c r="AG50" s="22">
        <v>2022</v>
      </c>
    </row>
    <row r="51" spans="1:33" ht="84.9" customHeight="1" x14ac:dyDescent="0.45">
      <c r="A51" s="19">
        <v>288</v>
      </c>
      <c r="B51" s="19" t="s">
        <v>587</v>
      </c>
      <c r="C51" s="22" t="s">
        <v>190</v>
      </c>
      <c r="D51" s="19">
        <v>1981</v>
      </c>
      <c r="E51" s="19">
        <v>9</v>
      </c>
      <c r="F51" s="19">
        <v>1</v>
      </c>
      <c r="G51" s="23">
        <v>1886.3</v>
      </c>
      <c r="H51" s="23">
        <v>1215.5999999999999</v>
      </c>
      <c r="I51" s="23">
        <v>1215.5999999999999</v>
      </c>
      <c r="J51" s="19">
        <v>41</v>
      </c>
      <c r="K51" s="15" t="s">
        <v>365</v>
      </c>
      <c r="L51" s="19" t="s">
        <v>366</v>
      </c>
      <c r="M51" s="19"/>
      <c r="N51" s="28"/>
      <c r="O51" s="29">
        <v>4754302.4800000004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>
        <v>248000</v>
      </c>
      <c r="AA51" s="29">
        <f t="shared" si="2"/>
        <v>5002302.4800000004</v>
      </c>
      <c r="AB51" s="29">
        <f t="shared" si="3"/>
        <v>5002302.4800000004</v>
      </c>
      <c r="AC51" s="28"/>
      <c r="AD51" s="28"/>
      <c r="AE51" s="37"/>
      <c r="AF51" s="22">
        <v>2022</v>
      </c>
      <c r="AG51" s="22">
        <v>2022</v>
      </c>
    </row>
    <row r="52" spans="1:33" ht="84.9" customHeight="1" x14ac:dyDescent="0.45">
      <c r="A52" s="19">
        <v>289</v>
      </c>
      <c r="B52" s="19" t="s">
        <v>587</v>
      </c>
      <c r="C52" s="22" t="s">
        <v>191</v>
      </c>
      <c r="D52" s="19">
        <v>1981</v>
      </c>
      <c r="E52" s="19">
        <v>9</v>
      </c>
      <c r="F52" s="19">
        <v>2</v>
      </c>
      <c r="G52" s="23">
        <v>4496</v>
      </c>
      <c r="H52" s="23">
        <v>3844.9</v>
      </c>
      <c r="I52" s="23">
        <v>3814.5</v>
      </c>
      <c r="J52" s="19" t="s">
        <v>364</v>
      </c>
      <c r="K52" s="15" t="s">
        <v>365</v>
      </c>
      <c r="L52" s="19" t="s">
        <v>366</v>
      </c>
      <c r="M52" s="19"/>
      <c r="N52" s="28"/>
      <c r="O52" s="29">
        <v>2377151.2400000002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9">
        <v>124000</v>
      </c>
      <c r="AA52" s="29">
        <f t="shared" si="2"/>
        <v>2501151.2400000002</v>
      </c>
      <c r="AB52" s="29">
        <f t="shared" si="3"/>
        <v>2501151.2400000002</v>
      </c>
      <c r="AC52" s="28"/>
      <c r="AD52" s="28"/>
      <c r="AE52" s="37"/>
      <c r="AF52" s="22">
        <v>2022</v>
      </c>
      <c r="AG52" s="22">
        <v>2022</v>
      </c>
    </row>
    <row r="53" spans="1:33" ht="84.9" customHeight="1" x14ac:dyDescent="0.45">
      <c r="A53" s="19">
        <v>290</v>
      </c>
      <c r="B53" s="19" t="s">
        <v>587</v>
      </c>
      <c r="C53" s="22" t="s">
        <v>192</v>
      </c>
      <c r="D53" s="19">
        <v>1981</v>
      </c>
      <c r="E53" s="19">
        <v>9</v>
      </c>
      <c r="F53" s="19">
        <v>2</v>
      </c>
      <c r="G53" s="23">
        <v>4080.5</v>
      </c>
      <c r="H53" s="23">
        <v>4080.7</v>
      </c>
      <c r="I53" s="23">
        <v>3832.3</v>
      </c>
      <c r="J53" s="19">
        <v>202</v>
      </c>
      <c r="K53" s="15" t="s">
        <v>365</v>
      </c>
      <c r="L53" s="19" t="s">
        <v>366</v>
      </c>
      <c r="M53" s="19"/>
      <c r="N53" s="28"/>
      <c r="O53" s="29">
        <v>2377151.2400000002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9">
        <v>124000</v>
      </c>
      <c r="AA53" s="29">
        <f t="shared" si="2"/>
        <v>2501151.2400000002</v>
      </c>
      <c r="AB53" s="29">
        <f t="shared" si="3"/>
        <v>2501151.2400000002</v>
      </c>
      <c r="AC53" s="28"/>
      <c r="AD53" s="28"/>
      <c r="AE53" s="37"/>
      <c r="AF53" s="22">
        <v>2022</v>
      </c>
      <c r="AG53" s="22">
        <v>2022</v>
      </c>
    </row>
    <row r="54" spans="1:33" ht="84.9" customHeight="1" x14ac:dyDescent="0.45">
      <c r="A54" s="19">
        <v>291</v>
      </c>
      <c r="B54" s="19" t="s">
        <v>587</v>
      </c>
      <c r="C54" s="22" t="s">
        <v>193</v>
      </c>
      <c r="D54" s="19">
        <v>1967</v>
      </c>
      <c r="E54" s="19">
        <v>5</v>
      </c>
      <c r="F54" s="19">
        <v>8</v>
      </c>
      <c r="G54" s="23">
        <v>5757.4</v>
      </c>
      <c r="H54" s="23">
        <v>3986.4</v>
      </c>
      <c r="I54" s="23">
        <v>3986.4</v>
      </c>
      <c r="J54" s="19">
        <v>267</v>
      </c>
      <c r="K54" s="15" t="s">
        <v>365</v>
      </c>
      <c r="L54" s="19" t="s">
        <v>366</v>
      </c>
      <c r="M54" s="19"/>
      <c r="N54" s="28"/>
      <c r="O54" s="29">
        <v>2377151.2400000002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9">
        <v>124000</v>
      </c>
      <c r="AA54" s="29">
        <f t="shared" si="2"/>
        <v>2501151.2400000002</v>
      </c>
      <c r="AB54" s="29">
        <f t="shared" si="3"/>
        <v>2501151.2400000002</v>
      </c>
      <c r="AC54" s="28"/>
      <c r="AD54" s="28"/>
      <c r="AE54" s="37"/>
      <c r="AF54" s="22">
        <v>2022</v>
      </c>
      <c r="AG54" s="22">
        <v>2022</v>
      </c>
    </row>
    <row r="55" spans="1:33" ht="84.9" customHeight="1" x14ac:dyDescent="0.45">
      <c r="A55" s="19">
        <v>292</v>
      </c>
      <c r="B55" s="21" t="s">
        <v>587</v>
      </c>
      <c r="C55" s="19" t="s">
        <v>194</v>
      </c>
      <c r="D55" s="19">
        <v>1968</v>
      </c>
      <c r="E55" s="19">
        <v>5</v>
      </c>
      <c r="F55" s="19">
        <v>6</v>
      </c>
      <c r="G55" s="23">
        <v>4818.8999999999996</v>
      </c>
      <c r="H55" s="23">
        <v>4818.8999999999996</v>
      </c>
      <c r="I55" s="23">
        <v>4817.5</v>
      </c>
      <c r="J55" s="19">
        <v>234</v>
      </c>
      <c r="K55" s="15" t="s">
        <v>365</v>
      </c>
      <c r="L55" s="19" t="s">
        <v>366</v>
      </c>
      <c r="M55" s="19"/>
      <c r="N55" s="28"/>
      <c r="O55" s="29">
        <v>2377151.2400000002</v>
      </c>
      <c r="P55" s="28"/>
      <c r="Q55" s="28"/>
      <c r="R55" s="28"/>
      <c r="S55" s="28"/>
      <c r="T55" s="28"/>
      <c r="U55" s="28"/>
      <c r="V55" s="28">
        <f>ROUND(H55*3517.3*1.015,2)</f>
        <v>17203759.719999999</v>
      </c>
      <c r="W55" s="28"/>
      <c r="X55" s="28"/>
      <c r="Y55" s="28"/>
      <c r="Z55" s="29">
        <v>884248.6</v>
      </c>
      <c r="AA55" s="29">
        <f>SUM(N55:Z55)</f>
        <v>20465159.560000002</v>
      </c>
      <c r="AB55" s="29">
        <v>2501151.2400000002</v>
      </c>
      <c r="AC55" s="28"/>
      <c r="AD55" s="28">
        <v>17964008.32</v>
      </c>
      <c r="AE55" s="37"/>
      <c r="AF55" s="19">
        <v>2022</v>
      </c>
      <c r="AG55" s="19">
        <v>2022</v>
      </c>
    </row>
    <row r="56" spans="1:33" ht="84.9" customHeight="1" x14ac:dyDescent="0.45">
      <c r="A56" s="19">
        <v>293</v>
      </c>
      <c r="B56" s="14" t="s">
        <v>587</v>
      </c>
      <c r="C56" s="22" t="s">
        <v>195</v>
      </c>
      <c r="D56" s="19">
        <v>1968</v>
      </c>
      <c r="E56" s="19">
        <v>5</v>
      </c>
      <c r="F56" s="19">
        <v>8</v>
      </c>
      <c r="G56" s="23">
        <v>5773</v>
      </c>
      <c r="H56" s="23">
        <v>5710.9</v>
      </c>
      <c r="I56" s="23">
        <v>5710.9</v>
      </c>
      <c r="J56" s="19" t="s">
        <v>403</v>
      </c>
      <c r="K56" s="15" t="s">
        <v>365</v>
      </c>
      <c r="L56" s="19" t="s">
        <v>366</v>
      </c>
      <c r="M56" s="19"/>
      <c r="N56" s="28"/>
      <c r="O56" s="29">
        <v>2377151.2400000002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9">
        <v>124000</v>
      </c>
      <c r="AA56" s="29">
        <f>SUM(O56+Z56)</f>
        <v>2501151.2400000002</v>
      </c>
      <c r="AB56" s="29">
        <v>2501151.2400000002</v>
      </c>
      <c r="AC56" s="28"/>
      <c r="AD56" s="28"/>
      <c r="AE56" s="37"/>
      <c r="AF56" s="22">
        <v>2022</v>
      </c>
      <c r="AG56" s="22">
        <v>2022</v>
      </c>
    </row>
    <row r="57" spans="1:33" ht="84.9" customHeight="1" x14ac:dyDescent="0.45">
      <c r="A57" s="19">
        <v>294</v>
      </c>
      <c r="B57" s="14" t="s">
        <v>587</v>
      </c>
      <c r="C57" s="22" t="s">
        <v>196</v>
      </c>
      <c r="D57" s="19" t="s">
        <v>404</v>
      </c>
      <c r="E57" s="19">
        <v>5</v>
      </c>
      <c r="F57" s="19">
        <v>8</v>
      </c>
      <c r="G57" s="23">
        <v>5924.7</v>
      </c>
      <c r="H57" s="23">
        <v>5801.3</v>
      </c>
      <c r="I57" s="23">
        <v>5801.3</v>
      </c>
      <c r="J57" s="19">
        <v>299</v>
      </c>
      <c r="K57" s="15" t="s">
        <v>365</v>
      </c>
      <c r="L57" s="19" t="s">
        <v>366</v>
      </c>
      <c r="M57" s="19"/>
      <c r="N57" s="28"/>
      <c r="O57" s="29">
        <v>2377151.2400000002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9">
        <v>124000</v>
      </c>
      <c r="AA57" s="29">
        <f t="shared" ref="AA57:AA65" si="4">SUM(O57+Z57)</f>
        <v>2501151.2400000002</v>
      </c>
      <c r="AB57" s="29">
        <v>2501151.2400000002</v>
      </c>
      <c r="AC57" s="28"/>
      <c r="AD57" s="28"/>
      <c r="AE57" s="37"/>
      <c r="AF57" s="22">
        <v>2022</v>
      </c>
      <c r="AG57" s="22">
        <v>2022</v>
      </c>
    </row>
    <row r="58" spans="1:33" ht="84.9" customHeight="1" x14ac:dyDescent="0.45">
      <c r="A58" s="19">
        <v>295</v>
      </c>
      <c r="B58" s="14" t="s">
        <v>587</v>
      </c>
      <c r="C58" s="22" t="s">
        <v>197</v>
      </c>
      <c r="D58" s="19" t="s">
        <v>405</v>
      </c>
      <c r="E58" s="19">
        <v>5</v>
      </c>
      <c r="F58" s="19">
        <v>1</v>
      </c>
      <c r="G58" s="23">
        <v>3911.5</v>
      </c>
      <c r="H58" s="23">
        <v>3492.3</v>
      </c>
      <c r="I58" s="23">
        <v>2905.5</v>
      </c>
      <c r="J58" s="19" t="s">
        <v>406</v>
      </c>
      <c r="K58" s="15" t="s">
        <v>365</v>
      </c>
      <c r="L58" s="19" t="s">
        <v>366</v>
      </c>
      <c r="M58" s="19"/>
      <c r="N58" s="28"/>
      <c r="O58" s="29">
        <v>2377151.2400000002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9">
        <v>124000</v>
      </c>
      <c r="AA58" s="29">
        <f t="shared" si="4"/>
        <v>2501151.2400000002</v>
      </c>
      <c r="AB58" s="29">
        <v>2501151.2400000002</v>
      </c>
      <c r="AC58" s="28"/>
      <c r="AD58" s="28"/>
      <c r="AE58" s="37"/>
      <c r="AF58" s="22">
        <v>2022</v>
      </c>
      <c r="AG58" s="22">
        <v>2022</v>
      </c>
    </row>
    <row r="59" spans="1:33" ht="84.9" customHeight="1" x14ac:dyDescent="0.45">
      <c r="A59" s="19">
        <v>296</v>
      </c>
      <c r="B59" s="14" t="s">
        <v>587</v>
      </c>
      <c r="C59" s="22" t="s">
        <v>198</v>
      </c>
      <c r="D59" s="19">
        <v>1987</v>
      </c>
      <c r="E59" s="19">
        <v>5</v>
      </c>
      <c r="F59" s="19">
        <v>4</v>
      </c>
      <c r="G59" s="23">
        <v>2825.7</v>
      </c>
      <c r="H59" s="23">
        <v>2808.1</v>
      </c>
      <c r="I59" s="23">
        <v>2808.1</v>
      </c>
      <c r="J59" s="19" t="s">
        <v>407</v>
      </c>
      <c r="K59" s="15" t="s">
        <v>365</v>
      </c>
      <c r="L59" s="19" t="s">
        <v>366</v>
      </c>
      <c r="M59" s="19"/>
      <c r="N59" s="28"/>
      <c r="O59" s="29">
        <v>2377151.2400000002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9">
        <v>124000</v>
      </c>
      <c r="AA59" s="29">
        <f t="shared" si="4"/>
        <v>2501151.2400000002</v>
      </c>
      <c r="AB59" s="29">
        <v>2501151.2400000002</v>
      </c>
      <c r="AC59" s="28"/>
      <c r="AD59" s="28"/>
      <c r="AE59" s="37"/>
      <c r="AF59" s="22">
        <v>2022</v>
      </c>
      <c r="AG59" s="22">
        <v>2022</v>
      </c>
    </row>
    <row r="60" spans="1:33" ht="84.9" customHeight="1" x14ac:dyDescent="0.45">
      <c r="A60" s="19">
        <v>297</v>
      </c>
      <c r="B60" s="14" t="s">
        <v>587</v>
      </c>
      <c r="C60" s="22" t="s">
        <v>199</v>
      </c>
      <c r="D60" s="19" t="s">
        <v>408</v>
      </c>
      <c r="E60" s="19">
        <v>5</v>
      </c>
      <c r="F60" s="19">
        <v>4</v>
      </c>
      <c r="G60" s="23">
        <v>2747.5</v>
      </c>
      <c r="H60" s="23">
        <v>2716.1</v>
      </c>
      <c r="I60" s="23">
        <v>2716.1</v>
      </c>
      <c r="J60" s="19">
        <v>142</v>
      </c>
      <c r="K60" s="15" t="s">
        <v>365</v>
      </c>
      <c r="L60" s="19" t="s">
        <v>366</v>
      </c>
      <c r="M60" s="19"/>
      <c r="N60" s="28"/>
      <c r="O60" s="29">
        <v>2377151.2400000002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9">
        <v>124000</v>
      </c>
      <c r="AA60" s="29">
        <f t="shared" si="4"/>
        <v>2501151.2400000002</v>
      </c>
      <c r="AB60" s="29">
        <v>2501151.2400000002</v>
      </c>
      <c r="AC60" s="28"/>
      <c r="AD60" s="28"/>
      <c r="AE60" s="37"/>
      <c r="AF60" s="22">
        <v>2022</v>
      </c>
      <c r="AG60" s="22">
        <v>2022</v>
      </c>
    </row>
    <row r="61" spans="1:33" ht="84.9" customHeight="1" x14ac:dyDescent="0.45">
      <c r="A61" s="19">
        <v>298</v>
      </c>
      <c r="B61" s="14" t="s">
        <v>587</v>
      </c>
      <c r="C61" s="22" t="s">
        <v>200</v>
      </c>
      <c r="D61" s="19">
        <v>1969</v>
      </c>
      <c r="E61" s="19">
        <v>5</v>
      </c>
      <c r="F61" s="19">
        <v>5</v>
      </c>
      <c r="G61" s="23">
        <v>3900.9</v>
      </c>
      <c r="H61" s="23">
        <v>3644.5</v>
      </c>
      <c r="I61" s="23">
        <v>3644.5</v>
      </c>
      <c r="J61" s="19">
        <v>177</v>
      </c>
      <c r="K61" s="15" t="s">
        <v>365</v>
      </c>
      <c r="L61" s="19" t="s">
        <v>366</v>
      </c>
      <c r="M61" s="19"/>
      <c r="N61" s="28"/>
      <c r="O61" s="29">
        <v>2377151.2400000002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>
        <v>124000</v>
      </c>
      <c r="AA61" s="29">
        <f t="shared" si="4"/>
        <v>2501151.2400000002</v>
      </c>
      <c r="AB61" s="29">
        <v>2501151.2400000002</v>
      </c>
      <c r="AC61" s="28"/>
      <c r="AD61" s="28"/>
      <c r="AE61" s="37"/>
      <c r="AF61" s="22">
        <v>2022</v>
      </c>
      <c r="AG61" s="22">
        <v>2022</v>
      </c>
    </row>
    <row r="62" spans="1:33" ht="84.9" customHeight="1" x14ac:dyDescent="0.45">
      <c r="A62" s="19">
        <v>299</v>
      </c>
      <c r="B62" s="14" t="s">
        <v>587</v>
      </c>
      <c r="C62" s="22" t="s">
        <v>201</v>
      </c>
      <c r="D62" s="19">
        <v>1969</v>
      </c>
      <c r="E62" s="19">
        <v>5</v>
      </c>
      <c r="F62" s="19">
        <v>6</v>
      </c>
      <c r="G62" s="23">
        <v>4463.3999999999996</v>
      </c>
      <c r="H62" s="23">
        <v>4433.2</v>
      </c>
      <c r="I62" s="23">
        <v>4433.2</v>
      </c>
      <c r="J62" s="19">
        <v>253</v>
      </c>
      <c r="K62" s="15" t="s">
        <v>365</v>
      </c>
      <c r="L62" s="19" t="s">
        <v>366</v>
      </c>
      <c r="M62" s="19"/>
      <c r="N62" s="28"/>
      <c r="O62" s="29">
        <v>2377151.2400000002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9">
        <v>124000</v>
      </c>
      <c r="AA62" s="29">
        <f t="shared" si="4"/>
        <v>2501151.2400000002</v>
      </c>
      <c r="AB62" s="29">
        <v>2501151.2400000002</v>
      </c>
      <c r="AC62" s="28"/>
      <c r="AD62" s="28"/>
      <c r="AE62" s="37"/>
      <c r="AF62" s="22">
        <v>2022</v>
      </c>
      <c r="AG62" s="22">
        <v>2022</v>
      </c>
    </row>
    <row r="63" spans="1:33" ht="84.9" customHeight="1" x14ac:dyDescent="0.45">
      <c r="A63" s="19">
        <v>300</v>
      </c>
      <c r="B63" s="14" t="s">
        <v>587</v>
      </c>
      <c r="C63" s="22" t="s">
        <v>202</v>
      </c>
      <c r="D63" s="19">
        <v>1969</v>
      </c>
      <c r="E63" s="19">
        <v>5</v>
      </c>
      <c r="F63" s="19">
        <v>4</v>
      </c>
      <c r="G63" s="23">
        <v>2762.9</v>
      </c>
      <c r="H63" s="23">
        <v>2762.9</v>
      </c>
      <c r="I63" s="23">
        <v>2762.9</v>
      </c>
      <c r="J63" s="19">
        <v>145</v>
      </c>
      <c r="K63" s="15" t="s">
        <v>365</v>
      </c>
      <c r="L63" s="19" t="s">
        <v>366</v>
      </c>
      <c r="M63" s="19"/>
      <c r="N63" s="28"/>
      <c r="O63" s="29">
        <v>2377151.2400000002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9">
        <v>124000</v>
      </c>
      <c r="AA63" s="29">
        <f t="shared" si="4"/>
        <v>2501151.2400000002</v>
      </c>
      <c r="AB63" s="29">
        <v>2501151.2400000002</v>
      </c>
      <c r="AC63" s="28"/>
      <c r="AD63" s="28"/>
      <c r="AE63" s="37"/>
      <c r="AF63" s="22">
        <v>2022</v>
      </c>
      <c r="AG63" s="22">
        <v>2022</v>
      </c>
    </row>
    <row r="64" spans="1:33" ht="84.9" customHeight="1" x14ac:dyDescent="0.45">
      <c r="A64" s="19">
        <v>301</v>
      </c>
      <c r="B64" s="14" t="s">
        <v>587</v>
      </c>
      <c r="C64" s="22" t="s">
        <v>203</v>
      </c>
      <c r="D64" s="19">
        <v>1969</v>
      </c>
      <c r="E64" s="19">
        <v>5</v>
      </c>
      <c r="F64" s="19">
        <v>4</v>
      </c>
      <c r="G64" s="23">
        <v>2928</v>
      </c>
      <c r="H64" s="23">
        <v>2731.2</v>
      </c>
      <c r="I64" s="23">
        <v>2731.2</v>
      </c>
      <c r="J64" s="19">
        <v>151</v>
      </c>
      <c r="K64" s="15" t="s">
        <v>365</v>
      </c>
      <c r="L64" s="19" t="s">
        <v>366</v>
      </c>
      <c r="M64" s="19"/>
      <c r="N64" s="28"/>
      <c r="O64" s="29">
        <v>2377151.2400000002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9">
        <v>124000</v>
      </c>
      <c r="AA64" s="29">
        <f t="shared" si="4"/>
        <v>2501151.2400000002</v>
      </c>
      <c r="AB64" s="29">
        <v>2501151.2400000002</v>
      </c>
      <c r="AC64" s="28"/>
      <c r="AD64" s="28"/>
      <c r="AE64" s="37"/>
      <c r="AF64" s="22">
        <v>2022</v>
      </c>
      <c r="AG64" s="22">
        <v>2022</v>
      </c>
    </row>
    <row r="65" spans="1:33" ht="84.9" customHeight="1" x14ac:dyDescent="0.45">
      <c r="A65" s="19">
        <v>302</v>
      </c>
      <c r="B65" s="14" t="s">
        <v>587</v>
      </c>
      <c r="C65" s="22" t="s">
        <v>204</v>
      </c>
      <c r="D65" s="19" t="s">
        <v>409</v>
      </c>
      <c r="E65" s="19">
        <v>5</v>
      </c>
      <c r="F65" s="19">
        <v>4</v>
      </c>
      <c r="G65" s="23">
        <v>2681.2</v>
      </c>
      <c r="H65" s="23">
        <v>2664</v>
      </c>
      <c r="I65" s="23">
        <v>2664</v>
      </c>
      <c r="J65" s="19">
        <v>123</v>
      </c>
      <c r="K65" s="15" t="s">
        <v>365</v>
      </c>
      <c r="L65" s="19" t="s">
        <v>366</v>
      </c>
      <c r="M65" s="19"/>
      <c r="N65" s="28"/>
      <c r="O65" s="29">
        <v>2377151.2400000002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>
        <v>124000</v>
      </c>
      <c r="AA65" s="29">
        <f t="shared" si="4"/>
        <v>2501151.2400000002</v>
      </c>
      <c r="AB65" s="29">
        <v>2501151.2400000002</v>
      </c>
      <c r="AC65" s="28"/>
      <c r="AD65" s="28"/>
      <c r="AE65" s="37"/>
      <c r="AF65" s="22">
        <v>2022</v>
      </c>
      <c r="AG65" s="22">
        <v>2022</v>
      </c>
    </row>
    <row r="66" spans="1:33" ht="84.9" customHeight="1" x14ac:dyDescent="0.45">
      <c r="A66" s="19">
        <v>303</v>
      </c>
      <c r="B66" s="14" t="s">
        <v>587</v>
      </c>
      <c r="C66" s="20" t="s">
        <v>205</v>
      </c>
      <c r="D66" s="19">
        <v>1993</v>
      </c>
      <c r="E66" s="19">
        <v>9</v>
      </c>
      <c r="F66" s="19">
        <v>3</v>
      </c>
      <c r="G66" s="23">
        <v>8696.1</v>
      </c>
      <c r="H66" s="23">
        <v>8696.1</v>
      </c>
      <c r="I66" s="23">
        <v>8696.1</v>
      </c>
      <c r="J66" s="19">
        <v>267</v>
      </c>
      <c r="K66" s="15" t="s">
        <v>365</v>
      </c>
      <c r="L66" s="19" t="s">
        <v>366</v>
      </c>
      <c r="M66" s="19"/>
      <c r="N66" s="28"/>
      <c r="O66" s="28"/>
      <c r="P66" s="28"/>
      <c r="Q66" s="28"/>
      <c r="R66" s="28"/>
      <c r="S66" s="28"/>
      <c r="T66" s="28"/>
      <c r="U66" s="31">
        <v>5554247.3499999996</v>
      </c>
      <c r="V66" s="28"/>
      <c r="W66" s="28"/>
      <c r="X66" s="28"/>
      <c r="Y66" s="28"/>
      <c r="Z66" s="31">
        <v>227835.12</v>
      </c>
      <c r="AA66" s="31">
        <f>SUM(U66+Z66)</f>
        <v>5782082.4699999997</v>
      </c>
      <c r="AB66" s="28"/>
      <c r="AC66" s="28"/>
      <c r="AD66" s="31">
        <f>AA66</f>
        <v>5782082.4699999997</v>
      </c>
      <c r="AE66" s="37"/>
      <c r="AF66" s="20">
        <v>2022</v>
      </c>
      <c r="AG66" s="20">
        <v>2022</v>
      </c>
    </row>
    <row r="67" spans="1:33" ht="84.9" customHeight="1" x14ac:dyDescent="0.45">
      <c r="A67" s="19">
        <v>304</v>
      </c>
      <c r="B67" s="14" t="s">
        <v>587</v>
      </c>
      <c r="C67" s="22" t="s">
        <v>206</v>
      </c>
      <c r="D67" s="19" t="s">
        <v>410</v>
      </c>
      <c r="E67" s="19">
        <v>9</v>
      </c>
      <c r="F67" s="19">
        <v>1</v>
      </c>
      <c r="G67" s="23">
        <v>3837.3</v>
      </c>
      <c r="H67" s="23">
        <v>3806.1</v>
      </c>
      <c r="I67" s="23">
        <v>3806.1</v>
      </c>
      <c r="J67" s="19">
        <v>218</v>
      </c>
      <c r="K67" s="15" t="s">
        <v>365</v>
      </c>
      <c r="L67" s="19" t="s">
        <v>366</v>
      </c>
      <c r="M67" s="19"/>
      <c r="N67" s="28"/>
      <c r="O67" s="29">
        <v>2377151.2400000002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>
        <v>124000</v>
      </c>
      <c r="AA67" s="29">
        <f t="shared" ref="AA67:AA73" si="5">SUM(O67+Z67)</f>
        <v>2501151.2400000002</v>
      </c>
      <c r="AB67" s="29">
        <v>2501151.2400000002</v>
      </c>
      <c r="AC67" s="28"/>
      <c r="AD67" s="28"/>
      <c r="AE67" s="37"/>
      <c r="AF67" s="22">
        <v>2022</v>
      </c>
      <c r="AG67" s="22">
        <v>2022</v>
      </c>
    </row>
    <row r="68" spans="1:33" ht="84.9" customHeight="1" x14ac:dyDescent="0.45">
      <c r="A68" s="19">
        <v>305</v>
      </c>
      <c r="B68" s="14" t="s">
        <v>587</v>
      </c>
      <c r="C68" s="22" t="s">
        <v>207</v>
      </c>
      <c r="D68" s="19">
        <v>1970</v>
      </c>
      <c r="E68" s="19">
        <v>5</v>
      </c>
      <c r="F68" s="19">
        <v>6</v>
      </c>
      <c r="G68" s="23">
        <v>4398.5</v>
      </c>
      <c r="H68" s="23">
        <v>4380.8999999999996</v>
      </c>
      <c r="I68" s="23">
        <v>4380.8999999999996</v>
      </c>
      <c r="J68" s="19">
        <v>217</v>
      </c>
      <c r="K68" s="15" t="s">
        <v>365</v>
      </c>
      <c r="L68" s="19" t="s">
        <v>366</v>
      </c>
      <c r="M68" s="19"/>
      <c r="N68" s="28"/>
      <c r="O68" s="29">
        <v>2377151.2400000002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>
        <v>124000</v>
      </c>
      <c r="AA68" s="29">
        <f t="shared" si="5"/>
        <v>2501151.2400000002</v>
      </c>
      <c r="AB68" s="29">
        <v>2501151.2400000002</v>
      </c>
      <c r="AC68" s="28"/>
      <c r="AD68" s="28"/>
      <c r="AE68" s="37"/>
      <c r="AF68" s="22">
        <v>2022</v>
      </c>
      <c r="AG68" s="22">
        <v>2022</v>
      </c>
    </row>
    <row r="69" spans="1:33" ht="84.9" customHeight="1" x14ac:dyDescent="0.45">
      <c r="A69" s="19">
        <v>306</v>
      </c>
      <c r="B69" s="14" t="s">
        <v>587</v>
      </c>
      <c r="C69" s="22" t="s">
        <v>208</v>
      </c>
      <c r="D69" s="19">
        <v>1966</v>
      </c>
      <c r="E69" s="19">
        <v>5</v>
      </c>
      <c r="F69" s="19">
        <v>4</v>
      </c>
      <c r="G69" s="23">
        <v>3035.1</v>
      </c>
      <c r="H69" s="23">
        <v>2734.8</v>
      </c>
      <c r="I69" s="23">
        <v>2734.8</v>
      </c>
      <c r="J69" s="19" t="s">
        <v>411</v>
      </c>
      <c r="K69" s="15" t="s">
        <v>365</v>
      </c>
      <c r="L69" s="19" t="s">
        <v>366</v>
      </c>
      <c r="M69" s="19"/>
      <c r="N69" s="28"/>
      <c r="O69" s="29">
        <v>2377151.2400000002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>
        <v>124000</v>
      </c>
      <c r="AA69" s="29">
        <f t="shared" si="5"/>
        <v>2501151.2400000002</v>
      </c>
      <c r="AB69" s="29">
        <v>2501151.2400000002</v>
      </c>
      <c r="AC69" s="28"/>
      <c r="AD69" s="28"/>
      <c r="AE69" s="37"/>
      <c r="AF69" s="22">
        <v>2022</v>
      </c>
      <c r="AG69" s="22">
        <v>2022</v>
      </c>
    </row>
    <row r="70" spans="1:33" ht="84.9" customHeight="1" x14ac:dyDescent="0.45">
      <c r="A70" s="19">
        <v>307</v>
      </c>
      <c r="B70" s="14" t="s">
        <v>587</v>
      </c>
      <c r="C70" s="22" t="s">
        <v>209</v>
      </c>
      <c r="D70" s="19" t="s">
        <v>392</v>
      </c>
      <c r="E70" s="19">
        <v>9</v>
      </c>
      <c r="F70" s="19">
        <v>2</v>
      </c>
      <c r="G70" s="23">
        <v>3889.1</v>
      </c>
      <c r="H70" s="23">
        <v>3888.5</v>
      </c>
      <c r="I70" s="23">
        <v>3857.6</v>
      </c>
      <c r="J70" s="19">
        <v>185</v>
      </c>
      <c r="K70" s="15" t="s">
        <v>365</v>
      </c>
      <c r="L70" s="19" t="s">
        <v>366</v>
      </c>
      <c r="M70" s="19"/>
      <c r="N70" s="28"/>
      <c r="O70" s="29">
        <v>2377151.2400000002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9">
        <v>124000</v>
      </c>
      <c r="AA70" s="29">
        <f t="shared" si="5"/>
        <v>2501151.2400000002</v>
      </c>
      <c r="AB70" s="29">
        <v>2501151.2400000002</v>
      </c>
      <c r="AC70" s="28"/>
      <c r="AD70" s="28"/>
      <c r="AE70" s="37"/>
      <c r="AF70" s="22">
        <v>2022</v>
      </c>
      <c r="AG70" s="22">
        <v>2022</v>
      </c>
    </row>
    <row r="71" spans="1:33" ht="84.9" customHeight="1" x14ac:dyDescent="0.45">
      <c r="A71" s="19">
        <v>308</v>
      </c>
      <c r="B71" s="14" t="s">
        <v>587</v>
      </c>
      <c r="C71" s="22" t="s">
        <v>210</v>
      </c>
      <c r="D71" s="19" t="s">
        <v>392</v>
      </c>
      <c r="E71" s="19">
        <v>9</v>
      </c>
      <c r="F71" s="19">
        <v>2</v>
      </c>
      <c r="G71" s="23">
        <v>3883.9</v>
      </c>
      <c r="H71" s="23">
        <v>3883.1</v>
      </c>
      <c r="I71" s="23">
        <v>3866.1</v>
      </c>
      <c r="J71" s="19">
        <v>185</v>
      </c>
      <c r="K71" s="15" t="s">
        <v>365</v>
      </c>
      <c r="L71" s="19" t="s">
        <v>366</v>
      </c>
      <c r="M71" s="19"/>
      <c r="N71" s="28"/>
      <c r="O71" s="29">
        <v>2377151.2400000002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9">
        <v>124000</v>
      </c>
      <c r="AA71" s="29">
        <f t="shared" si="5"/>
        <v>2501151.2400000002</v>
      </c>
      <c r="AB71" s="29">
        <v>2501151.2400000002</v>
      </c>
      <c r="AC71" s="28"/>
      <c r="AD71" s="28"/>
      <c r="AE71" s="37"/>
      <c r="AF71" s="22">
        <v>2022</v>
      </c>
      <c r="AG71" s="22">
        <v>2022</v>
      </c>
    </row>
    <row r="72" spans="1:33" ht="84.9" customHeight="1" x14ac:dyDescent="0.45">
      <c r="A72" s="19">
        <v>309</v>
      </c>
      <c r="B72" s="14" t="s">
        <v>587</v>
      </c>
      <c r="C72" s="22" t="s">
        <v>211</v>
      </c>
      <c r="D72" s="19">
        <v>1970</v>
      </c>
      <c r="E72" s="19">
        <v>5</v>
      </c>
      <c r="F72" s="19">
        <v>4</v>
      </c>
      <c r="G72" s="23">
        <v>3502.6</v>
      </c>
      <c r="H72" s="23">
        <v>3499.6</v>
      </c>
      <c r="I72" s="23">
        <v>3480.4</v>
      </c>
      <c r="J72" s="19">
        <v>152</v>
      </c>
      <c r="K72" s="15" t="s">
        <v>365</v>
      </c>
      <c r="L72" s="19" t="s">
        <v>366</v>
      </c>
      <c r="M72" s="19"/>
      <c r="N72" s="28"/>
      <c r="O72" s="29">
        <v>2377151.2400000002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9">
        <v>124000</v>
      </c>
      <c r="AA72" s="29">
        <f t="shared" si="5"/>
        <v>2501151.2400000002</v>
      </c>
      <c r="AB72" s="29">
        <v>2501151.2400000002</v>
      </c>
      <c r="AC72" s="28"/>
      <c r="AD72" s="28"/>
      <c r="AE72" s="37"/>
      <c r="AF72" s="22">
        <v>2022</v>
      </c>
      <c r="AG72" s="22">
        <v>2022</v>
      </c>
    </row>
    <row r="73" spans="1:33" ht="84.9" customHeight="1" x14ac:dyDescent="0.45">
      <c r="A73" s="19">
        <v>310</v>
      </c>
      <c r="B73" s="14" t="s">
        <v>587</v>
      </c>
      <c r="C73" s="22" t="s">
        <v>212</v>
      </c>
      <c r="D73" s="19">
        <v>1971</v>
      </c>
      <c r="E73" s="19">
        <v>5</v>
      </c>
      <c r="F73" s="19">
        <v>4</v>
      </c>
      <c r="G73" s="23">
        <v>3470.5</v>
      </c>
      <c r="H73" s="23">
        <v>3466.8</v>
      </c>
      <c r="I73" s="23">
        <v>3447.6</v>
      </c>
      <c r="J73" s="19">
        <v>155</v>
      </c>
      <c r="K73" s="15" t="s">
        <v>365</v>
      </c>
      <c r="L73" s="19" t="s">
        <v>366</v>
      </c>
      <c r="M73" s="19"/>
      <c r="N73" s="28"/>
      <c r="O73" s="29">
        <v>2377151.2400000002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9">
        <v>124000</v>
      </c>
      <c r="AA73" s="29">
        <f t="shared" si="5"/>
        <v>2501151.2400000002</v>
      </c>
      <c r="AB73" s="29">
        <v>2501151.2400000002</v>
      </c>
      <c r="AC73" s="28"/>
      <c r="AD73" s="28"/>
      <c r="AE73" s="37"/>
      <c r="AF73" s="22">
        <v>2022</v>
      </c>
      <c r="AG73" s="22">
        <v>2022</v>
      </c>
    </row>
    <row r="74" spans="1:33" ht="84.9" customHeight="1" x14ac:dyDescent="0.45">
      <c r="A74" s="19">
        <v>311</v>
      </c>
      <c r="B74" s="14" t="s">
        <v>587</v>
      </c>
      <c r="C74" s="20" t="s">
        <v>215</v>
      </c>
      <c r="D74" s="19">
        <v>1981</v>
      </c>
      <c r="E74" s="19">
        <v>9</v>
      </c>
      <c r="F74" s="19">
        <v>1</v>
      </c>
      <c r="G74" s="23">
        <v>2423.1999999999998</v>
      </c>
      <c r="H74" s="23">
        <v>2423.1999999999998</v>
      </c>
      <c r="I74" s="23">
        <v>2423.1999999999998</v>
      </c>
      <c r="J74" s="19">
        <v>103</v>
      </c>
      <c r="K74" s="15" t="s">
        <v>365</v>
      </c>
      <c r="L74" s="19" t="s">
        <v>366</v>
      </c>
      <c r="M74" s="19"/>
      <c r="N74" s="28"/>
      <c r="O74" s="28"/>
      <c r="P74" s="28"/>
      <c r="Q74" s="28"/>
      <c r="R74" s="28"/>
      <c r="S74" s="28"/>
      <c r="T74" s="28"/>
      <c r="U74" s="31">
        <v>1851415.78</v>
      </c>
      <c r="V74" s="28"/>
      <c r="W74" s="28"/>
      <c r="X74" s="28"/>
      <c r="Y74" s="28"/>
      <c r="Z74" s="31">
        <v>75945.039999999994</v>
      </c>
      <c r="AA74" s="31">
        <f>SUM(U74+Z74)</f>
        <v>1927360.82</v>
      </c>
      <c r="AB74" s="28"/>
      <c r="AC74" s="28"/>
      <c r="AD74" s="31">
        <f>AA74</f>
        <v>1927360.82</v>
      </c>
      <c r="AE74" s="37"/>
      <c r="AF74" s="20">
        <v>2022</v>
      </c>
      <c r="AG74" s="20">
        <v>2022</v>
      </c>
    </row>
    <row r="75" spans="1:33" ht="84.9" customHeight="1" x14ac:dyDescent="0.45">
      <c r="A75" s="19">
        <v>312</v>
      </c>
      <c r="B75" s="14" t="s">
        <v>587</v>
      </c>
      <c r="C75" s="19" t="s">
        <v>419</v>
      </c>
      <c r="D75" s="19">
        <v>1973</v>
      </c>
      <c r="E75" s="19">
        <v>5</v>
      </c>
      <c r="F75" s="19">
        <v>6</v>
      </c>
      <c r="G75" s="23">
        <v>5379.6</v>
      </c>
      <c r="H75" s="23">
        <f>4784.2+207.4</f>
        <v>4991.5999999999995</v>
      </c>
      <c r="I75" s="23" t="s">
        <v>364</v>
      </c>
      <c r="J75" s="19" t="s">
        <v>364</v>
      </c>
      <c r="K75" s="19" t="s">
        <v>423</v>
      </c>
      <c r="L75" s="19" t="s">
        <v>366</v>
      </c>
      <c r="M75" s="19"/>
      <c r="N75" s="28"/>
      <c r="O75" s="28">
        <f>ROUND(H75*3201.73*1.015,2)</f>
        <v>16221481.800000001</v>
      </c>
      <c r="P75" s="28">
        <f>ROUND(H75*620.83*1.015,2)</f>
        <v>3145419.05</v>
      </c>
      <c r="Q75" s="28">
        <f>ROUND(H75*660.21*1.015,2)</f>
        <v>3344936.8</v>
      </c>
      <c r="R75" s="28"/>
      <c r="S75" s="28">
        <f>ROUND(H75*665.62*1.015,2)</f>
        <v>3372346.42</v>
      </c>
      <c r="T75" s="28"/>
      <c r="U75" s="28"/>
      <c r="V75" s="28">
        <f>ROUND(3727.29*H75*1.015,2)</f>
        <v>18884217.879999999</v>
      </c>
      <c r="W75" s="28"/>
      <c r="X75" s="28">
        <f>ROUND(3435.59*H75*1.015,2)</f>
        <v>17406327.41</v>
      </c>
      <c r="Y75" s="28"/>
      <c r="Z75" s="28">
        <v>1112855.68</v>
      </c>
      <c r="AA75" s="28">
        <f>SUM(O75+P75+Q75+S75+V75+X75+Z75)</f>
        <v>63487585.039999999</v>
      </c>
      <c r="AB75" s="28"/>
      <c r="AC75" s="28"/>
      <c r="AD75" s="28">
        <f>SUM(O75:Z75)</f>
        <v>63487585.039999999</v>
      </c>
      <c r="AE75" s="37"/>
      <c r="AF75" s="19">
        <v>2020</v>
      </c>
      <c r="AG75" s="19">
        <v>2022</v>
      </c>
    </row>
    <row r="76" spans="1:33" ht="84.9" customHeight="1" x14ac:dyDescent="0.45">
      <c r="A76" s="19">
        <v>313</v>
      </c>
      <c r="B76" s="14" t="s">
        <v>587</v>
      </c>
      <c r="C76" s="20" t="s">
        <v>216</v>
      </c>
      <c r="D76" s="19">
        <v>1976</v>
      </c>
      <c r="E76" s="19">
        <v>9</v>
      </c>
      <c r="F76" s="19">
        <v>2</v>
      </c>
      <c r="G76" s="23">
        <v>4070.84</v>
      </c>
      <c r="H76" s="23">
        <v>4070.84</v>
      </c>
      <c r="I76" s="23">
        <v>4070.84</v>
      </c>
      <c r="J76" s="19">
        <v>156</v>
      </c>
      <c r="K76" s="19" t="s">
        <v>365</v>
      </c>
      <c r="L76" s="19" t="s">
        <v>366</v>
      </c>
      <c r="M76" s="19"/>
      <c r="N76" s="28"/>
      <c r="O76" s="28"/>
      <c r="P76" s="28"/>
      <c r="Q76" s="28"/>
      <c r="R76" s="28"/>
      <c r="S76" s="28"/>
      <c r="T76" s="28"/>
      <c r="U76" s="31">
        <v>3702831.57</v>
      </c>
      <c r="V76" s="28"/>
      <c r="W76" s="28"/>
      <c r="X76" s="28"/>
      <c r="Y76" s="28"/>
      <c r="Z76" s="31">
        <v>151890.07999999999</v>
      </c>
      <c r="AA76" s="31">
        <f>SUM(U76+Z76)</f>
        <v>3854721.65</v>
      </c>
      <c r="AB76" s="28"/>
      <c r="AC76" s="28"/>
      <c r="AD76" s="31">
        <f>AA76</f>
        <v>3854721.65</v>
      </c>
      <c r="AE76" s="37"/>
      <c r="AF76" s="20">
        <v>2022</v>
      </c>
      <c r="AG76" s="20">
        <v>2022</v>
      </c>
    </row>
    <row r="77" spans="1:33" ht="84.9" customHeight="1" x14ac:dyDescent="0.45">
      <c r="A77" s="19">
        <v>314</v>
      </c>
      <c r="B77" s="14" t="s">
        <v>587</v>
      </c>
      <c r="C77" s="20" t="s">
        <v>217</v>
      </c>
      <c r="D77" s="19">
        <v>1976</v>
      </c>
      <c r="E77" s="19">
        <v>9</v>
      </c>
      <c r="F77" s="19">
        <v>2</v>
      </c>
      <c r="G77" s="23">
        <v>6093.6</v>
      </c>
      <c r="H77" s="23">
        <v>6093.6</v>
      </c>
      <c r="I77" s="23">
        <v>5316.3</v>
      </c>
      <c r="J77" s="19" t="s">
        <v>364</v>
      </c>
      <c r="K77" s="19" t="s">
        <v>365</v>
      </c>
      <c r="L77" s="19" t="s">
        <v>366</v>
      </c>
      <c r="M77" s="19"/>
      <c r="N77" s="28"/>
      <c r="O77" s="28"/>
      <c r="P77" s="28"/>
      <c r="Q77" s="28"/>
      <c r="R77" s="28"/>
      <c r="S77" s="28"/>
      <c r="T77" s="28"/>
      <c r="U77" s="31">
        <v>3702831.57</v>
      </c>
      <c r="V77" s="28"/>
      <c r="W77" s="28"/>
      <c r="X77" s="28"/>
      <c r="Y77" s="28"/>
      <c r="Z77" s="31">
        <v>151890.07999999999</v>
      </c>
      <c r="AA77" s="31">
        <f>SUM(U77+Z77)</f>
        <v>3854721.65</v>
      </c>
      <c r="AB77" s="28"/>
      <c r="AC77" s="28"/>
      <c r="AD77" s="31">
        <f>AA77</f>
        <v>3854721.65</v>
      </c>
      <c r="AE77" s="37"/>
      <c r="AF77" s="20">
        <v>2022</v>
      </c>
      <c r="AG77" s="20">
        <v>2022</v>
      </c>
    </row>
    <row r="78" spans="1:33" ht="84.9" customHeight="1" x14ac:dyDescent="0.45">
      <c r="A78" s="19">
        <v>315</v>
      </c>
      <c r="B78" s="14" t="s">
        <v>587</v>
      </c>
      <c r="C78" s="22" t="s">
        <v>218</v>
      </c>
      <c r="D78" s="19">
        <v>1972</v>
      </c>
      <c r="E78" s="19">
        <v>9</v>
      </c>
      <c r="F78" s="19">
        <v>2</v>
      </c>
      <c r="G78" s="23">
        <v>4723.8999999999996</v>
      </c>
      <c r="H78" s="23">
        <v>4713.1000000000004</v>
      </c>
      <c r="I78" s="23">
        <v>3856.1</v>
      </c>
      <c r="J78" s="19">
        <v>167</v>
      </c>
      <c r="K78" s="19" t="s">
        <v>365</v>
      </c>
      <c r="L78" s="19" t="s">
        <v>366</v>
      </c>
      <c r="M78" s="19"/>
      <c r="N78" s="28"/>
      <c r="O78" s="29">
        <v>2377151.2400000002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9">
        <v>124000</v>
      </c>
      <c r="AA78" s="29">
        <f t="shared" ref="AA78:AA80" si="6">SUM(O78+Z78)</f>
        <v>2501151.2400000002</v>
      </c>
      <c r="AB78" s="29">
        <v>2501151.2400000002</v>
      </c>
      <c r="AC78" s="28"/>
      <c r="AD78" s="28"/>
      <c r="AE78" s="37"/>
      <c r="AF78" s="22">
        <v>2022</v>
      </c>
      <c r="AG78" s="22">
        <v>2022</v>
      </c>
    </row>
    <row r="79" spans="1:33" ht="84.9" customHeight="1" x14ac:dyDescent="0.45">
      <c r="A79" s="19">
        <v>316</v>
      </c>
      <c r="B79" s="14" t="s">
        <v>587</v>
      </c>
      <c r="C79" s="22" t="s">
        <v>219</v>
      </c>
      <c r="D79" s="19">
        <v>1970</v>
      </c>
      <c r="E79" s="19">
        <v>9</v>
      </c>
      <c r="F79" s="19">
        <v>2</v>
      </c>
      <c r="G79" s="23">
        <v>3915.3</v>
      </c>
      <c r="H79" s="23">
        <v>3913.3</v>
      </c>
      <c r="I79" s="23">
        <v>3895.8</v>
      </c>
      <c r="J79" s="19">
        <v>175</v>
      </c>
      <c r="K79" s="19" t="s">
        <v>365</v>
      </c>
      <c r="L79" s="19" t="s">
        <v>366</v>
      </c>
      <c r="M79" s="19"/>
      <c r="N79" s="28"/>
      <c r="O79" s="29">
        <v>2377151.2400000002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9">
        <v>124000</v>
      </c>
      <c r="AA79" s="29">
        <f t="shared" si="6"/>
        <v>2501151.2400000002</v>
      </c>
      <c r="AB79" s="29">
        <v>2501151.2400000002</v>
      </c>
      <c r="AC79" s="28"/>
      <c r="AD79" s="28"/>
      <c r="AE79" s="37"/>
      <c r="AF79" s="22">
        <v>2022</v>
      </c>
      <c r="AG79" s="22">
        <v>2022</v>
      </c>
    </row>
    <row r="80" spans="1:33" ht="84.9" customHeight="1" x14ac:dyDescent="0.45">
      <c r="A80" s="19">
        <v>317</v>
      </c>
      <c r="B80" s="14" t="s">
        <v>587</v>
      </c>
      <c r="C80" s="22" t="s">
        <v>220</v>
      </c>
      <c r="D80" s="19">
        <v>1971</v>
      </c>
      <c r="E80" s="19">
        <v>9</v>
      </c>
      <c r="F80" s="19">
        <v>4</v>
      </c>
      <c r="G80" s="23">
        <v>7574.1</v>
      </c>
      <c r="H80" s="23">
        <v>7572.3</v>
      </c>
      <c r="I80" s="23">
        <v>7544.1</v>
      </c>
      <c r="J80" s="19">
        <v>331</v>
      </c>
      <c r="K80" s="19" t="s">
        <v>365</v>
      </c>
      <c r="L80" s="19" t="s">
        <v>366</v>
      </c>
      <c r="M80" s="19"/>
      <c r="N80" s="28"/>
      <c r="O80" s="29">
        <v>4754302.4800000004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9">
        <v>248000</v>
      </c>
      <c r="AA80" s="29">
        <f t="shared" si="6"/>
        <v>5002302.4800000004</v>
      </c>
      <c r="AB80" s="29">
        <f>AA80</f>
        <v>5002302.4800000004</v>
      </c>
      <c r="AC80" s="28"/>
      <c r="AD80" s="28"/>
      <c r="AE80" s="37"/>
      <c r="AF80" s="22">
        <v>2022</v>
      </c>
      <c r="AG80" s="22">
        <v>2022</v>
      </c>
    </row>
    <row r="81" spans="1:33" ht="84.9" customHeight="1" x14ac:dyDescent="0.45">
      <c r="A81" s="19">
        <v>318</v>
      </c>
      <c r="B81" s="14" t="s">
        <v>587</v>
      </c>
      <c r="C81" s="22" t="s">
        <v>221</v>
      </c>
      <c r="D81" s="19">
        <v>1969</v>
      </c>
      <c r="E81" s="19">
        <v>5</v>
      </c>
      <c r="F81" s="19">
        <v>6</v>
      </c>
      <c r="G81" s="23">
        <v>3934.6</v>
      </c>
      <c r="H81" s="23">
        <v>3833.5</v>
      </c>
      <c r="I81" s="23">
        <v>3833.5</v>
      </c>
      <c r="J81" s="19">
        <v>193</v>
      </c>
      <c r="K81" s="19" t="s">
        <v>365</v>
      </c>
      <c r="L81" s="19" t="s">
        <v>366</v>
      </c>
      <c r="M81" s="19"/>
      <c r="N81" s="28"/>
      <c r="O81" s="29">
        <v>2377151.2400000002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9">
        <v>124000</v>
      </c>
      <c r="AA81" s="29">
        <f t="shared" ref="AA81:AA92" si="7">SUM(O81+Z81)</f>
        <v>2501151.2400000002</v>
      </c>
      <c r="AB81" s="29">
        <v>2501151.2400000002</v>
      </c>
      <c r="AC81" s="28"/>
      <c r="AD81" s="28"/>
      <c r="AE81" s="37"/>
      <c r="AF81" s="22">
        <v>2022</v>
      </c>
      <c r="AG81" s="22">
        <v>2022</v>
      </c>
    </row>
    <row r="82" spans="1:33" ht="84.9" customHeight="1" x14ac:dyDescent="0.45">
      <c r="A82" s="19">
        <v>319</v>
      </c>
      <c r="B82" s="14" t="s">
        <v>587</v>
      </c>
      <c r="C82" s="22" t="s">
        <v>222</v>
      </c>
      <c r="D82" s="19">
        <v>1970</v>
      </c>
      <c r="E82" s="19">
        <v>9</v>
      </c>
      <c r="F82" s="19">
        <v>2</v>
      </c>
      <c r="G82" s="23">
        <v>4588</v>
      </c>
      <c r="H82" s="23">
        <v>3848.4</v>
      </c>
      <c r="I82" s="23">
        <v>3848.4</v>
      </c>
      <c r="J82" s="19">
        <v>179</v>
      </c>
      <c r="K82" s="19" t="s">
        <v>365</v>
      </c>
      <c r="L82" s="19" t="s">
        <v>425</v>
      </c>
      <c r="M82" s="19"/>
      <c r="N82" s="28"/>
      <c r="O82" s="29">
        <v>2377151.2400000002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9">
        <v>124000</v>
      </c>
      <c r="AA82" s="29">
        <f t="shared" si="7"/>
        <v>2501151.2400000002</v>
      </c>
      <c r="AB82" s="29">
        <v>2501151.2400000002</v>
      </c>
      <c r="AC82" s="28"/>
      <c r="AD82" s="28"/>
      <c r="AE82" s="37"/>
      <c r="AF82" s="22">
        <v>2022</v>
      </c>
      <c r="AG82" s="22">
        <v>2022</v>
      </c>
    </row>
    <row r="83" spans="1:33" ht="84.9" customHeight="1" x14ac:dyDescent="0.45">
      <c r="A83" s="19">
        <v>320</v>
      </c>
      <c r="B83" s="14" t="s">
        <v>587</v>
      </c>
      <c r="C83" s="22" t="s">
        <v>223</v>
      </c>
      <c r="D83" s="19">
        <v>1970</v>
      </c>
      <c r="E83" s="19">
        <v>5</v>
      </c>
      <c r="F83" s="19">
        <v>6</v>
      </c>
      <c r="G83" s="23">
        <v>3984</v>
      </c>
      <c r="H83" s="23">
        <v>3502.6</v>
      </c>
      <c r="I83" s="23">
        <v>3502.6</v>
      </c>
      <c r="J83" s="19">
        <v>136</v>
      </c>
      <c r="K83" s="19" t="s">
        <v>365</v>
      </c>
      <c r="L83" s="19" t="s">
        <v>366</v>
      </c>
      <c r="M83" s="19"/>
      <c r="N83" s="28"/>
      <c r="O83" s="29">
        <v>2377151.2400000002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>
        <v>124000</v>
      </c>
      <c r="AA83" s="29">
        <f t="shared" si="7"/>
        <v>2501151.2400000002</v>
      </c>
      <c r="AB83" s="29">
        <v>2501151.2400000002</v>
      </c>
      <c r="AC83" s="28"/>
      <c r="AD83" s="28"/>
      <c r="AE83" s="37"/>
      <c r="AF83" s="22">
        <v>2022</v>
      </c>
      <c r="AG83" s="22">
        <v>2022</v>
      </c>
    </row>
    <row r="84" spans="1:33" ht="84.9" customHeight="1" x14ac:dyDescent="0.45">
      <c r="A84" s="19">
        <v>321</v>
      </c>
      <c r="B84" s="14" t="s">
        <v>587</v>
      </c>
      <c r="C84" s="22" t="s">
        <v>224</v>
      </c>
      <c r="D84" s="19">
        <v>1971</v>
      </c>
      <c r="E84" s="19">
        <v>9</v>
      </c>
      <c r="F84" s="19">
        <v>2</v>
      </c>
      <c r="G84" s="23">
        <v>4403</v>
      </c>
      <c r="H84" s="23">
        <v>4404.5</v>
      </c>
      <c r="I84" s="23">
        <v>3887.4</v>
      </c>
      <c r="J84" s="19">
        <v>153</v>
      </c>
      <c r="K84" s="19" t="s">
        <v>365</v>
      </c>
      <c r="L84" s="19" t="s">
        <v>366</v>
      </c>
      <c r="M84" s="19"/>
      <c r="N84" s="28"/>
      <c r="O84" s="29">
        <v>2377151.2400000002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9">
        <v>124000</v>
      </c>
      <c r="AA84" s="29">
        <f t="shared" si="7"/>
        <v>2501151.2400000002</v>
      </c>
      <c r="AB84" s="29">
        <v>2501151.2400000002</v>
      </c>
      <c r="AC84" s="28"/>
      <c r="AD84" s="28"/>
      <c r="AE84" s="37"/>
      <c r="AF84" s="22">
        <v>2022</v>
      </c>
      <c r="AG84" s="22">
        <v>2022</v>
      </c>
    </row>
    <row r="85" spans="1:33" ht="84.9" customHeight="1" x14ac:dyDescent="0.45">
      <c r="A85" s="19">
        <v>322</v>
      </c>
      <c r="B85" s="14" t="s">
        <v>587</v>
      </c>
      <c r="C85" s="22" t="s">
        <v>225</v>
      </c>
      <c r="D85" s="19">
        <v>1970</v>
      </c>
      <c r="E85" s="19">
        <v>9</v>
      </c>
      <c r="F85" s="19">
        <v>2</v>
      </c>
      <c r="G85" s="23">
        <v>4553</v>
      </c>
      <c r="H85" s="23">
        <v>3903.2</v>
      </c>
      <c r="I85" s="23">
        <v>3828.4</v>
      </c>
      <c r="J85" s="19">
        <v>157</v>
      </c>
      <c r="K85" s="19" t="s">
        <v>365</v>
      </c>
      <c r="L85" s="19" t="s">
        <v>366</v>
      </c>
      <c r="M85" s="19"/>
      <c r="N85" s="28"/>
      <c r="O85" s="29">
        <v>2377151.2400000002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>
        <v>124000</v>
      </c>
      <c r="AA85" s="29">
        <f t="shared" si="7"/>
        <v>2501151.2400000002</v>
      </c>
      <c r="AB85" s="29">
        <v>2501151.2400000002</v>
      </c>
      <c r="AC85" s="28"/>
      <c r="AD85" s="28"/>
      <c r="AE85" s="37"/>
      <c r="AF85" s="22">
        <v>2022</v>
      </c>
      <c r="AG85" s="22">
        <v>2022</v>
      </c>
    </row>
    <row r="86" spans="1:33" ht="84.9" customHeight="1" x14ac:dyDescent="0.45">
      <c r="A86" s="19">
        <v>323</v>
      </c>
      <c r="B86" s="14" t="s">
        <v>587</v>
      </c>
      <c r="C86" s="22" t="s">
        <v>226</v>
      </c>
      <c r="D86" s="19">
        <v>1969</v>
      </c>
      <c r="E86" s="19">
        <v>5</v>
      </c>
      <c r="F86" s="19">
        <v>4</v>
      </c>
      <c r="G86" s="23">
        <v>2629.1</v>
      </c>
      <c r="H86" s="23">
        <v>2622.3</v>
      </c>
      <c r="I86" s="23">
        <v>2189.1999999999998</v>
      </c>
      <c r="J86" s="19">
        <v>110</v>
      </c>
      <c r="K86" s="19" t="s">
        <v>365</v>
      </c>
      <c r="L86" s="19" t="s">
        <v>366</v>
      </c>
      <c r="M86" s="19"/>
      <c r="N86" s="28"/>
      <c r="O86" s="29">
        <v>2377151.2400000002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9">
        <v>124000</v>
      </c>
      <c r="AA86" s="29">
        <f t="shared" si="7"/>
        <v>2501151.2400000002</v>
      </c>
      <c r="AB86" s="29">
        <v>2501151.2400000002</v>
      </c>
      <c r="AC86" s="28"/>
      <c r="AD86" s="28"/>
      <c r="AE86" s="37"/>
      <c r="AF86" s="22">
        <v>2022</v>
      </c>
      <c r="AG86" s="22">
        <v>2022</v>
      </c>
    </row>
    <row r="87" spans="1:33" ht="84.9" customHeight="1" x14ac:dyDescent="0.45">
      <c r="A87" s="19">
        <v>324</v>
      </c>
      <c r="B87" s="14" t="s">
        <v>587</v>
      </c>
      <c r="C87" s="22" t="s">
        <v>227</v>
      </c>
      <c r="D87" s="19">
        <v>1969</v>
      </c>
      <c r="E87" s="19">
        <v>5</v>
      </c>
      <c r="F87" s="19">
        <v>4</v>
      </c>
      <c r="G87" s="23">
        <v>2657</v>
      </c>
      <c r="H87" s="23">
        <v>2627.1</v>
      </c>
      <c r="I87" s="23">
        <v>2627.1</v>
      </c>
      <c r="J87" s="19">
        <v>100</v>
      </c>
      <c r="K87" s="19" t="s">
        <v>365</v>
      </c>
      <c r="L87" s="19" t="s">
        <v>366</v>
      </c>
      <c r="M87" s="19"/>
      <c r="N87" s="28"/>
      <c r="O87" s="29">
        <v>2377151.2400000002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9">
        <v>124000</v>
      </c>
      <c r="AA87" s="29">
        <f t="shared" si="7"/>
        <v>2501151.2400000002</v>
      </c>
      <c r="AB87" s="29">
        <v>2501151.2400000002</v>
      </c>
      <c r="AC87" s="28"/>
      <c r="AD87" s="28"/>
      <c r="AE87" s="37"/>
      <c r="AF87" s="22">
        <v>2022</v>
      </c>
      <c r="AG87" s="22">
        <v>2022</v>
      </c>
    </row>
    <row r="88" spans="1:33" ht="84.9" customHeight="1" x14ac:dyDescent="0.45">
      <c r="A88" s="19">
        <v>325</v>
      </c>
      <c r="B88" s="14" t="s">
        <v>587</v>
      </c>
      <c r="C88" s="22" t="s">
        <v>228</v>
      </c>
      <c r="D88" s="19">
        <v>1970</v>
      </c>
      <c r="E88" s="19">
        <v>9</v>
      </c>
      <c r="F88" s="19">
        <v>2</v>
      </c>
      <c r="G88" s="23">
        <v>3850.4</v>
      </c>
      <c r="H88" s="23">
        <v>3866.6</v>
      </c>
      <c r="I88" s="23">
        <v>3849.3</v>
      </c>
      <c r="J88" s="19">
        <v>152</v>
      </c>
      <c r="K88" s="19" t="s">
        <v>365</v>
      </c>
      <c r="L88" s="19" t="s">
        <v>366</v>
      </c>
      <c r="M88" s="19"/>
      <c r="N88" s="28"/>
      <c r="O88" s="29">
        <v>2377151.2400000002</v>
      </c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9">
        <v>124000</v>
      </c>
      <c r="AA88" s="29">
        <f t="shared" si="7"/>
        <v>2501151.2400000002</v>
      </c>
      <c r="AB88" s="29">
        <v>2501151.2400000002</v>
      </c>
      <c r="AC88" s="28"/>
      <c r="AD88" s="28"/>
      <c r="AE88" s="37"/>
      <c r="AF88" s="22">
        <v>2022</v>
      </c>
      <c r="AG88" s="22">
        <v>2022</v>
      </c>
    </row>
    <row r="89" spans="1:33" ht="84.9" customHeight="1" x14ac:dyDescent="0.45">
      <c r="A89" s="19">
        <v>326</v>
      </c>
      <c r="B89" s="14" t="s">
        <v>587</v>
      </c>
      <c r="C89" s="22" t="s">
        <v>229</v>
      </c>
      <c r="D89" s="19">
        <v>1970</v>
      </c>
      <c r="E89" s="19">
        <v>9</v>
      </c>
      <c r="F89" s="19">
        <v>2</v>
      </c>
      <c r="G89" s="23" t="s">
        <v>426</v>
      </c>
      <c r="H89" s="23">
        <v>3911.3</v>
      </c>
      <c r="I89" s="23">
        <v>3675</v>
      </c>
      <c r="J89" s="19">
        <v>151</v>
      </c>
      <c r="K89" s="19" t="s">
        <v>365</v>
      </c>
      <c r="L89" s="19" t="s">
        <v>366</v>
      </c>
      <c r="M89" s="19"/>
      <c r="N89" s="28"/>
      <c r="O89" s="29">
        <v>2377151.2400000002</v>
      </c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9">
        <v>124000</v>
      </c>
      <c r="AA89" s="29">
        <f t="shared" si="7"/>
        <v>2501151.2400000002</v>
      </c>
      <c r="AB89" s="29">
        <v>2501151.2400000002</v>
      </c>
      <c r="AC89" s="28"/>
      <c r="AD89" s="28"/>
      <c r="AE89" s="37"/>
      <c r="AF89" s="22">
        <v>2022</v>
      </c>
      <c r="AG89" s="22">
        <v>2022</v>
      </c>
    </row>
    <row r="90" spans="1:33" ht="84.9" customHeight="1" x14ac:dyDescent="0.45">
      <c r="A90" s="19">
        <v>327</v>
      </c>
      <c r="B90" s="14" t="s">
        <v>587</v>
      </c>
      <c r="C90" s="22" t="s">
        <v>230</v>
      </c>
      <c r="D90" s="19" t="s">
        <v>392</v>
      </c>
      <c r="E90" s="19">
        <v>9</v>
      </c>
      <c r="F90" s="19">
        <v>2</v>
      </c>
      <c r="G90" s="23">
        <v>3852.4</v>
      </c>
      <c r="H90" s="23">
        <v>3852.2</v>
      </c>
      <c r="I90" s="23">
        <v>3835</v>
      </c>
      <c r="J90" s="40" t="s">
        <v>427</v>
      </c>
      <c r="K90" s="40" t="s">
        <v>365</v>
      </c>
      <c r="L90" s="19" t="s">
        <v>366</v>
      </c>
      <c r="M90" s="19"/>
      <c r="N90" s="28"/>
      <c r="O90" s="29">
        <v>2377151.2400000002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9">
        <v>124000</v>
      </c>
      <c r="AA90" s="29">
        <f t="shared" si="7"/>
        <v>2501151.2400000002</v>
      </c>
      <c r="AB90" s="29">
        <v>2501151.2400000002</v>
      </c>
      <c r="AC90" s="28"/>
      <c r="AD90" s="28"/>
      <c r="AE90" s="37"/>
      <c r="AF90" s="22">
        <v>2022</v>
      </c>
      <c r="AG90" s="22">
        <v>2022</v>
      </c>
    </row>
    <row r="91" spans="1:33" ht="84.9" customHeight="1" x14ac:dyDescent="0.45">
      <c r="A91" s="19">
        <v>328</v>
      </c>
      <c r="B91" s="14" t="s">
        <v>587</v>
      </c>
      <c r="C91" s="22" t="s">
        <v>231</v>
      </c>
      <c r="D91" s="19" t="s">
        <v>392</v>
      </c>
      <c r="E91" s="19">
        <v>9</v>
      </c>
      <c r="F91" s="19">
        <v>4</v>
      </c>
      <c r="G91" s="23">
        <v>7761.5</v>
      </c>
      <c r="H91" s="23">
        <v>7756.3</v>
      </c>
      <c r="I91" s="23">
        <v>7603.2</v>
      </c>
      <c r="J91" s="19" t="s">
        <v>428</v>
      </c>
      <c r="K91" s="19" t="s">
        <v>365</v>
      </c>
      <c r="L91" s="19" t="s">
        <v>366</v>
      </c>
      <c r="M91" s="19"/>
      <c r="N91" s="28"/>
      <c r="O91" s="29">
        <v>4754302.4800000004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9">
        <v>248000</v>
      </c>
      <c r="AA91" s="29">
        <f t="shared" si="7"/>
        <v>5002302.4800000004</v>
      </c>
      <c r="AB91" s="29">
        <f>AA91</f>
        <v>5002302.4800000004</v>
      </c>
      <c r="AC91" s="28"/>
      <c r="AD91" s="28"/>
      <c r="AE91" s="37"/>
      <c r="AF91" s="22">
        <v>2022</v>
      </c>
      <c r="AG91" s="22">
        <v>2022</v>
      </c>
    </row>
    <row r="92" spans="1:33" ht="84.9" customHeight="1" x14ac:dyDescent="0.45">
      <c r="A92" s="19">
        <v>329</v>
      </c>
      <c r="B92" s="14" t="s">
        <v>587</v>
      </c>
      <c r="C92" s="22" t="s">
        <v>232</v>
      </c>
      <c r="D92" s="19" t="s">
        <v>392</v>
      </c>
      <c r="E92" s="19">
        <v>9</v>
      </c>
      <c r="F92" s="19">
        <v>6</v>
      </c>
      <c r="G92" s="23">
        <v>11288.3</v>
      </c>
      <c r="H92" s="23">
        <v>11185</v>
      </c>
      <c r="I92" s="23">
        <v>11185</v>
      </c>
      <c r="J92" s="19" t="s">
        <v>429</v>
      </c>
      <c r="K92" s="19" t="s">
        <v>365</v>
      </c>
      <c r="L92" s="19" t="s">
        <v>366</v>
      </c>
      <c r="M92" s="19"/>
      <c r="N92" s="28"/>
      <c r="O92" s="29">
        <v>7131453.7199999997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9">
        <v>372000</v>
      </c>
      <c r="AA92" s="29">
        <f t="shared" si="7"/>
        <v>7503453.7199999997</v>
      </c>
      <c r="AB92" s="29">
        <f>AA92</f>
        <v>7503453.7199999997</v>
      </c>
      <c r="AC92" s="28"/>
      <c r="AD92" s="28"/>
      <c r="AE92" s="37"/>
      <c r="AF92" s="22">
        <v>2022</v>
      </c>
      <c r="AG92" s="22">
        <v>2022</v>
      </c>
    </row>
    <row r="93" spans="1:33" ht="84.9" customHeight="1" x14ac:dyDescent="0.45">
      <c r="A93" s="19">
        <v>330</v>
      </c>
      <c r="B93" s="14" t="s">
        <v>587</v>
      </c>
      <c r="C93" s="19" t="s">
        <v>430</v>
      </c>
      <c r="D93" s="19">
        <v>1972</v>
      </c>
      <c r="E93" s="19">
        <v>5</v>
      </c>
      <c r="F93" s="19">
        <v>7</v>
      </c>
      <c r="G93" s="39">
        <v>6351.5</v>
      </c>
      <c r="H93" s="23">
        <v>5853.6</v>
      </c>
      <c r="I93" s="23">
        <v>5912.3</v>
      </c>
      <c r="J93" s="19">
        <v>266</v>
      </c>
      <c r="K93" s="19" t="s">
        <v>365</v>
      </c>
      <c r="L93" s="19" t="s">
        <v>366</v>
      </c>
      <c r="M93" s="19"/>
      <c r="N93" s="28"/>
      <c r="O93" s="28"/>
      <c r="P93" s="28"/>
      <c r="Q93" s="28"/>
      <c r="R93" s="28"/>
      <c r="S93" s="28"/>
      <c r="T93" s="28"/>
      <c r="U93" s="28"/>
      <c r="V93" s="28">
        <f t="shared" ref="V93:V94" si="8">ROUND(H93*3517.3*1.015,2)</f>
        <v>20897700.289999999</v>
      </c>
      <c r="W93" s="28"/>
      <c r="X93" s="28"/>
      <c r="Y93" s="28"/>
      <c r="Z93" s="28">
        <v>741812.5</v>
      </c>
      <c r="AA93" s="28">
        <f>SUM(V93+Z93)</f>
        <v>21639512.789999999</v>
      </c>
      <c r="AB93" s="28"/>
      <c r="AC93" s="28"/>
      <c r="AD93" s="28">
        <f>SUM(V93+Z93)</f>
        <v>21639512.789999999</v>
      </c>
      <c r="AE93" s="37"/>
      <c r="AF93" s="19">
        <v>2022</v>
      </c>
      <c r="AG93" s="19">
        <v>2022</v>
      </c>
    </row>
    <row r="94" spans="1:33" ht="84.9" customHeight="1" x14ac:dyDescent="0.45">
      <c r="A94" s="19">
        <v>331</v>
      </c>
      <c r="B94" s="14" t="s">
        <v>587</v>
      </c>
      <c r="C94" s="19" t="s">
        <v>431</v>
      </c>
      <c r="D94" s="19">
        <v>1971</v>
      </c>
      <c r="E94" s="19">
        <v>5</v>
      </c>
      <c r="F94" s="19">
        <v>4</v>
      </c>
      <c r="G94" s="39">
        <v>2728.4</v>
      </c>
      <c r="H94" s="23">
        <v>2698.2</v>
      </c>
      <c r="I94" s="23">
        <v>2698</v>
      </c>
      <c r="J94" s="19">
        <v>120</v>
      </c>
      <c r="K94" s="19" t="s">
        <v>365</v>
      </c>
      <c r="L94" s="19" t="s">
        <v>366</v>
      </c>
      <c r="M94" s="19"/>
      <c r="N94" s="28"/>
      <c r="O94" s="28"/>
      <c r="P94" s="28"/>
      <c r="Q94" s="28"/>
      <c r="R94" s="28"/>
      <c r="S94" s="28"/>
      <c r="T94" s="28"/>
      <c r="U94" s="28"/>
      <c r="V94" s="28">
        <f t="shared" si="8"/>
        <v>9632734.5399999991</v>
      </c>
      <c r="W94" s="28"/>
      <c r="X94" s="28"/>
      <c r="Y94" s="28"/>
      <c r="Z94" s="28">
        <v>670285.1</v>
      </c>
      <c r="AA94" s="28">
        <f>SUM(V94+Z94)</f>
        <v>10303019.639999999</v>
      </c>
      <c r="AB94" s="28"/>
      <c r="AC94" s="28"/>
      <c r="AD94" s="28">
        <f>SUM(V94+Z94)</f>
        <v>10303019.639999999</v>
      </c>
      <c r="AE94" s="37"/>
      <c r="AF94" s="19">
        <v>2022</v>
      </c>
      <c r="AG94" s="19">
        <v>2023</v>
      </c>
    </row>
    <row r="95" spans="1:33" ht="84.9" customHeight="1" x14ac:dyDescent="0.45">
      <c r="A95" s="19">
        <v>332</v>
      </c>
      <c r="B95" s="19" t="s">
        <v>587</v>
      </c>
      <c r="C95" s="20" t="s">
        <v>233</v>
      </c>
      <c r="D95" s="19">
        <v>1980</v>
      </c>
      <c r="E95" s="19">
        <v>9</v>
      </c>
      <c r="F95" s="19">
        <v>1</v>
      </c>
      <c r="G95" s="23">
        <v>4452</v>
      </c>
      <c r="H95" s="23">
        <v>4452</v>
      </c>
      <c r="I95" s="23">
        <v>4452</v>
      </c>
      <c r="J95" s="19">
        <v>75</v>
      </c>
      <c r="K95" s="19"/>
      <c r="L95" s="19" t="s">
        <v>366</v>
      </c>
      <c r="M95" s="19"/>
      <c r="N95" s="28"/>
      <c r="O95" s="28"/>
      <c r="P95" s="28"/>
      <c r="Q95" s="28"/>
      <c r="R95" s="28"/>
      <c r="S95" s="28"/>
      <c r="T95" s="28"/>
      <c r="U95" s="31">
        <v>1851415.78</v>
      </c>
      <c r="V95" s="28"/>
      <c r="W95" s="28"/>
      <c r="X95" s="28"/>
      <c r="Y95" s="28"/>
      <c r="Z95" s="31">
        <v>75945.039999999994</v>
      </c>
      <c r="AA95" s="31">
        <f t="shared" ref="AA95:AA108" si="9">SUM(U95+Z95)</f>
        <v>1927360.82</v>
      </c>
      <c r="AB95" s="28"/>
      <c r="AC95" s="28"/>
      <c r="AD95" s="31">
        <f t="shared" ref="AD95:AD112" si="10">AA95</f>
        <v>1927360.82</v>
      </c>
      <c r="AE95" s="37"/>
      <c r="AF95" s="20">
        <v>2022</v>
      </c>
      <c r="AG95" s="20">
        <v>2022</v>
      </c>
    </row>
    <row r="96" spans="1:33" ht="84.9" customHeight="1" x14ac:dyDescent="0.45">
      <c r="A96" s="19">
        <v>333</v>
      </c>
      <c r="B96" s="19" t="s">
        <v>587</v>
      </c>
      <c r="C96" s="20" t="s">
        <v>234</v>
      </c>
      <c r="D96" s="19">
        <v>1980</v>
      </c>
      <c r="E96" s="19">
        <v>9</v>
      </c>
      <c r="F96" s="19">
        <v>2</v>
      </c>
      <c r="G96" s="23">
        <v>4417.28</v>
      </c>
      <c r="H96" s="23">
        <v>4417.28</v>
      </c>
      <c r="I96" s="23">
        <v>4417.28</v>
      </c>
      <c r="J96" s="19">
        <v>165</v>
      </c>
      <c r="K96" s="19" t="s">
        <v>365</v>
      </c>
      <c r="L96" s="19" t="s">
        <v>366</v>
      </c>
      <c r="M96" s="19"/>
      <c r="N96" s="28"/>
      <c r="O96" s="28"/>
      <c r="P96" s="28"/>
      <c r="Q96" s="28"/>
      <c r="R96" s="28"/>
      <c r="S96" s="28"/>
      <c r="T96" s="28"/>
      <c r="U96" s="31">
        <v>3702831.57</v>
      </c>
      <c r="V96" s="28"/>
      <c r="W96" s="28"/>
      <c r="X96" s="28"/>
      <c r="Y96" s="28"/>
      <c r="Z96" s="31">
        <v>151890.07999999999</v>
      </c>
      <c r="AA96" s="31">
        <f t="shared" si="9"/>
        <v>3854721.65</v>
      </c>
      <c r="AB96" s="28"/>
      <c r="AC96" s="28"/>
      <c r="AD96" s="31">
        <f t="shared" si="10"/>
        <v>3854721.65</v>
      </c>
      <c r="AE96" s="37"/>
      <c r="AF96" s="20">
        <v>2022</v>
      </c>
      <c r="AG96" s="20">
        <v>2022</v>
      </c>
    </row>
    <row r="97" spans="1:33" ht="84.9" customHeight="1" x14ac:dyDescent="0.45">
      <c r="A97" s="19">
        <v>334</v>
      </c>
      <c r="B97" s="19" t="s">
        <v>587</v>
      </c>
      <c r="C97" s="20" t="s">
        <v>235</v>
      </c>
      <c r="D97" s="19">
        <v>1980</v>
      </c>
      <c r="E97" s="19">
        <v>9</v>
      </c>
      <c r="F97" s="19">
        <v>4</v>
      </c>
      <c r="G97" s="23">
        <v>8704.7999999999993</v>
      </c>
      <c r="H97" s="23">
        <v>8704.7999999999993</v>
      </c>
      <c r="I97" s="23">
        <v>8704.7999999999993</v>
      </c>
      <c r="J97" s="19">
        <v>338</v>
      </c>
      <c r="K97" s="19" t="s">
        <v>365</v>
      </c>
      <c r="L97" s="19" t="s">
        <v>366</v>
      </c>
      <c r="M97" s="19"/>
      <c r="N97" s="28"/>
      <c r="O97" s="28"/>
      <c r="P97" s="28"/>
      <c r="Q97" s="28"/>
      <c r="R97" s="28"/>
      <c r="S97" s="28"/>
      <c r="T97" s="28"/>
      <c r="U97" s="31">
        <v>7405663.1399999997</v>
      </c>
      <c r="V97" s="28"/>
      <c r="W97" s="28"/>
      <c r="X97" s="28"/>
      <c r="Y97" s="28"/>
      <c r="Z97" s="31">
        <v>303780.15999999997</v>
      </c>
      <c r="AA97" s="31">
        <f t="shared" si="9"/>
        <v>7709443.2999999998</v>
      </c>
      <c r="AB97" s="28"/>
      <c r="AC97" s="28"/>
      <c r="AD97" s="31">
        <f t="shared" si="10"/>
        <v>7709443.2999999998</v>
      </c>
      <c r="AE97" s="37"/>
      <c r="AF97" s="20">
        <v>2022</v>
      </c>
      <c r="AG97" s="20">
        <v>2022</v>
      </c>
    </row>
    <row r="98" spans="1:33" ht="84.9" customHeight="1" x14ac:dyDescent="0.45">
      <c r="A98" s="19">
        <v>335</v>
      </c>
      <c r="B98" s="19" t="s">
        <v>587</v>
      </c>
      <c r="C98" s="20" t="s">
        <v>236</v>
      </c>
      <c r="D98" s="19">
        <v>1980</v>
      </c>
      <c r="E98" s="19">
        <v>9</v>
      </c>
      <c r="F98" s="19">
        <v>1</v>
      </c>
      <c r="G98" s="23">
        <v>3008.62</v>
      </c>
      <c r="H98" s="23">
        <v>3008.62</v>
      </c>
      <c r="I98" s="23">
        <v>3008.62</v>
      </c>
      <c r="J98" s="19">
        <v>165</v>
      </c>
      <c r="K98" s="19" t="s">
        <v>365</v>
      </c>
      <c r="L98" s="19" t="s">
        <v>366</v>
      </c>
      <c r="M98" s="19"/>
      <c r="N98" s="28"/>
      <c r="O98" s="28"/>
      <c r="P98" s="28"/>
      <c r="Q98" s="28"/>
      <c r="R98" s="28"/>
      <c r="S98" s="28"/>
      <c r="T98" s="28"/>
      <c r="U98" s="31">
        <v>1851415.78</v>
      </c>
      <c r="V98" s="28"/>
      <c r="W98" s="28"/>
      <c r="X98" s="28"/>
      <c r="Y98" s="28"/>
      <c r="Z98" s="31">
        <v>75945.039999999994</v>
      </c>
      <c r="AA98" s="31">
        <f t="shared" si="9"/>
        <v>1927360.82</v>
      </c>
      <c r="AB98" s="28"/>
      <c r="AC98" s="28"/>
      <c r="AD98" s="31">
        <f t="shared" si="10"/>
        <v>1927360.82</v>
      </c>
      <c r="AE98" s="37"/>
      <c r="AF98" s="20">
        <v>2022</v>
      </c>
      <c r="AG98" s="20">
        <v>2022</v>
      </c>
    </row>
    <row r="99" spans="1:33" ht="84.9" customHeight="1" x14ac:dyDescent="0.45">
      <c r="A99" s="19">
        <v>336</v>
      </c>
      <c r="B99" s="19" t="s">
        <v>587</v>
      </c>
      <c r="C99" s="20" t="s">
        <v>237</v>
      </c>
      <c r="D99" s="19">
        <v>1980</v>
      </c>
      <c r="E99" s="19">
        <v>9</v>
      </c>
      <c r="F99" s="19">
        <v>1</v>
      </c>
      <c r="G99" s="23">
        <v>2985.6</v>
      </c>
      <c r="H99" s="23">
        <v>2985.6</v>
      </c>
      <c r="I99" s="23">
        <v>2985.6</v>
      </c>
      <c r="J99" s="19">
        <v>160</v>
      </c>
      <c r="K99" s="19" t="s">
        <v>365</v>
      </c>
      <c r="L99" s="19" t="s">
        <v>366</v>
      </c>
      <c r="M99" s="19"/>
      <c r="N99" s="28"/>
      <c r="O99" s="28"/>
      <c r="P99" s="28"/>
      <c r="Q99" s="28"/>
      <c r="R99" s="28"/>
      <c r="S99" s="28"/>
      <c r="T99" s="28"/>
      <c r="U99" s="31">
        <v>1851415.78</v>
      </c>
      <c r="V99" s="28"/>
      <c r="W99" s="28"/>
      <c r="X99" s="28"/>
      <c r="Y99" s="28"/>
      <c r="Z99" s="31">
        <v>75945.039999999994</v>
      </c>
      <c r="AA99" s="31">
        <f t="shared" si="9"/>
        <v>1927360.82</v>
      </c>
      <c r="AB99" s="28"/>
      <c r="AC99" s="28"/>
      <c r="AD99" s="31">
        <f t="shared" si="10"/>
        <v>1927360.82</v>
      </c>
      <c r="AE99" s="37"/>
      <c r="AF99" s="20">
        <v>2022</v>
      </c>
      <c r="AG99" s="20">
        <v>2022</v>
      </c>
    </row>
    <row r="100" spans="1:33" ht="84.9" customHeight="1" x14ac:dyDescent="0.45">
      <c r="A100" s="19">
        <v>337</v>
      </c>
      <c r="B100" s="19" t="s">
        <v>587</v>
      </c>
      <c r="C100" s="20" t="s">
        <v>238</v>
      </c>
      <c r="D100" s="19">
        <v>1980</v>
      </c>
      <c r="E100" s="19">
        <v>9</v>
      </c>
      <c r="F100" s="19">
        <v>2</v>
      </c>
      <c r="G100" s="23">
        <v>4464.79</v>
      </c>
      <c r="H100" s="23">
        <v>4464.79</v>
      </c>
      <c r="I100" s="23">
        <v>4464.79</v>
      </c>
      <c r="J100" s="19">
        <v>166</v>
      </c>
      <c r="K100" s="19" t="s">
        <v>365</v>
      </c>
      <c r="L100" s="19" t="s">
        <v>366</v>
      </c>
      <c r="M100" s="19"/>
      <c r="N100" s="28"/>
      <c r="O100" s="28"/>
      <c r="P100" s="28"/>
      <c r="Q100" s="28"/>
      <c r="R100" s="28"/>
      <c r="S100" s="28"/>
      <c r="T100" s="28"/>
      <c r="U100" s="31">
        <v>3702831.57</v>
      </c>
      <c r="V100" s="28"/>
      <c r="W100" s="28"/>
      <c r="X100" s="28"/>
      <c r="Y100" s="28"/>
      <c r="Z100" s="31">
        <v>151890.07999999999</v>
      </c>
      <c r="AA100" s="31">
        <f t="shared" si="9"/>
        <v>3854721.65</v>
      </c>
      <c r="AB100" s="28"/>
      <c r="AC100" s="28"/>
      <c r="AD100" s="31">
        <f t="shared" si="10"/>
        <v>3854721.65</v>
      </c>
      <c r="AE100" s="37"/>
      <c r="AF100" s="20">
        <v>2022</v>
      </c>
      <c r="AG100" s="20">
        <v>2022</v>
      </c>
    </row>
    <row r="101" spans="1:33" ht="84.9" customHeight="1" x14ac:dyDescent="0.45">
      <c r="A101" s="19">
        <v>338</v>
      </c>
      <c r="B101" s="19" t="s">
        <v>587</v>
      </c>
      <c r="C101" s="20" t="s">
        <v>239</v>
      </c>
      <c r="D101" s="19">
        <v>1980</v>
      </c>
      <c r="E101" s="19">
        <v>9</v>
      </c>
      <c r="F101" s="19">
        <v>1</v>
      </c>
      <c r="G101" s="23">
        <v>2670.6</v>
      </c>
      <c r="H101" s="23">
        <v>2670.6</v>
      </c>
      <c r="I101" s="23">
        <v>2670.6</v>
      </c>
      <c r="J101" s="19">
        <v>105</v>
      </c>
      <c r="K101" s="19" t="s">
        <v>365</v>
      </c>
      <c r="L101" s="19" t="s">
        <v>366</v>
      </c>
      <c r="M101" s="19"/>
      <c r="N101" s="28"/>
      <c r="O101" s="28"/>
      <c r="P101" s="28"/>
      <c r="Q101" s="28"/>
      <c r="R101" s="28"/>
      <c r="S101" s="28"/>
      <c r="T101" s="28"/>
      <c r="U101" s="31">
        <v>1851415.78</v>
      </c>
      <c r="V101" s="28"/>
      <c r="W101" s="28"/>
      <c r="X101" s="28"/>
      <c r="Y101" s="28"/>
      <c r="Z101" s="31">
        <v>75945.039999999994</v>
      </c>
      <c r="AA101" s="31">
        <f t="shared" si="9"/>
        <v>1927360.82</v>
      </c>
      <c r="AB101" s="28"/>
      <c r="AC101" s="28"/>
      <c r="AD101" s="31">
        <f t="shared" si="10"/>
        <v>1927360.82</v>
      </c>
      <c r="AE101" s="37"/>
      <c r="AF101" s="20">
        <v>2022</v>
      </c>
      <c r="AG101" s="20">
        <v>2022</v>
      </c>
    </row>
    <row r="102" spans="1:33" ht="84.9" customHeight="1" x14ac:dyDescent="0.45">
      <c r="A102" s="19">
        <v>339</v>
      </c>
      <c r="B102" s="19" t="s">
        <v>587</v>
      </c>
      <c r="C102" s="20" t="s">
        <v>240</v>
      </c>
      <c r="D102" s="19">
        <v>1980</v>
      </c>
      <c r="E102" s="19">
        <v>9</v>
      </c>
      <c r="F102" s="19">
        <v>1</v>
      </c>
      <c r="G102" s="23">
        <v>2665.04</v>
      </c>
      <c r="H102" s="23">
        <v>2665.04</v>
      </c>
      <c r="I102" s="23">
        <v>2665.04</v>
      </c>
      <c r="J102" s="19">
        <v>103</v>
      </c>
      <c r="K102" s="19" t="s">
        <v>365</v>
      </c>
      <c r="L102" s="19" t="s">
        <v>366</v>
      </c>
      <c r="M102" s="19"/>
      <c r="N102" s="28"/>
      <c r="O102" s="28"/>
      <c r="P102" s="28"/>
      <c r="Q102" s="28"/>
      <c r="R102" s="28"/>
      <c r="S102" s="28"/>
      <c r="T102" s="28"/>
      <c r="U102" s="31">
        <v>1851415.78</v>
      </c>
      <c r="V102" s="28"/>
      <c r="W102" s="28"/>
      <c r="X102" s="28"/>
      <c r="Y102" s="28"/>
      <c r="Z102" s="31">
        <v>75945.039999999994</v>
      </c>
      <c r="AA102" s="31">
        <f t="shared" si="9"/>
        <v>1927360.82</v>
      </c>
      <c r="AB102" s="28"/>
      <c r="AC102" s="28"/>
      <c r="AD102" s="31">
        <f t="shared" si="10"/>
        <v>1927360.82</v>
      </c>
      <c r="AE102" s="37"/>
      <c r="AF102" s="20">
        <v>2022</v>
      </c>
      <c r="AG102" s="20">
        <v>2022</v>
      </c>
    </row>
    <row r="103" spans="1:33" ht="84.9" customHeight="1" x14ac:dyDescent="0.45">
      <c r="A103" s="19">
        <v>340</v>
      </c>
      <c r="B103" s="19" t="s">
        <v>587</v>
      </c>
      <c r="C103" s="20" t="s">
        <v>241</v>
      </c>
      <c r="D103" s="19">
        <v>1980</v>
      </c>
      <c r="E103" s="19">
        <v>9</v>
      </c>
      <c r="F103" s="19">
        <v>2</v>
      </c>
      <c r="G103" s="23">
        <v>4413.8</v>
      </c>
      <c r="H103" s="23">
        <v>4413.8</v>
      </c>
      <c r="I103" s="23">
        <v>4413.8</v>
      </c>
      <c r="J103" s="19">
        <v>175</v>
      </c>
      <c r="K103" s="19" t="s">
        <v>365</v>
      </c>
      <c r="L103" s="19" t="s">
        <v>366</v>
      </c>
      <c r="M103" s="19"/>
      <c r="N103" s="28"/>
      <c r="O103" s="28"/>
      <c r="P103" s="28"/>
      <c r="Q103" s="28"/>
      <c r="R103" s="28"/>
      <c r="S103" s="28"/>
      <c r="T103" s="28"/>
      <c r="U103" s="31">
        <v>3702831.57</v>
      </c>
      <c r="V103" s="28"/>
      <c r="W103" s="28"/>
      <c r="X103" s="28"/>
      <c r="Y103" s="28"/>
      <c r="Z103" s="31">
        <v>151890.07999999999</v>
      </c>
      <c r="AA103" s="31">
        <f t="shared" si="9"/>
        <v>3854721.65</v>
      </c>
      <c r="AB103" s="28"/>
      <c r="AC103" s="28"/>
      <c r="AD103" s="31">
        <f t="shared" si="10"/>
        <v>3854721.65</v>
      </c>
      <c r="AE103" s="37"/>
      <c r="AF103" s="20">
        <v>2022</v>
      </c>
      <c r="AG103" s="20">
        <v>2022</v>
      </c>
    </row>
    <row r="104" spans="1:33" ht="84.9" customHeight="1" x14ac:dyDescent="0.45">
      <c r="A104" s="19">
        <v>341</v>
      </c>
      <c r="B104" s="19" t="s">
        <v>587</v>
      </c>
      <c r="C104" s="20" t="s">
        <v>242</v>
      </c>
      <c r="D104" s="19">
        <v>1980</v>
      </c>
      <c r="E104" s="19">
        <v>9</v>
      </c>
      <c r="F104" s="19">
        <v>4</v>
      </c>
      <c r="G104" s="23">
        <v>8621</v>
      </c>
      <c r="H104" s="23">
        <v>8621</v>
      </c>
      <c r="I104" s="23">
        <v>8621</v>
      </c>
      <c r="J104" s="19">
        <v>335</v>
      </c>
      <c r="K104" s="19" t="s">
        <v>365</v>
      </c>
      <c r="L104" s="19" t="s">
        <v>366</v>
      </c>
      <c r="M104" s="19"/>
      <c r="N104" s="28"/>
      <c r="O104" s="28"/>
      <c r="P104" s="28"/>
      <c r="Q104" s="28"/>
      <c r="R104" s="28"/>
      <c r="S104" s="28"/>
      <c r="T104" s="28"/>
      <c r="U104" s="31">
        <v>7405663.1399999997</v>
      </c>
      <c r="V104" s="28"/>
      <c r="W104" s="28"/>
      <c r="X104" s="28"/>
      <c r="Y104" s="28"/>
      <c r="Z104" s="31">
        <v>303780.15999999997</v>
      </c>
      <c r="AA104" s="31">
        <f t="shared" si="9"/>
        <v>7709443.2999999998</v>
      </c>
      <c r="AB104" s="28"/>
      <c r="AC104" s="28"/>
      <c r="AD104" s="31">
        <f t="shared" si="10"/>
        <v>7709443.2999999998</v>
      </c>
      <c r="AE104" s="37"/>
      <c r="AF104" s="20">
        <v>2022</v>
      </c>
      <c r="AG104" s="20">
        <v>2022</v>
      </c>
    </row>
    <row r="105" spans="1:33" ht="84.9" customHeight="1" x14ac:dyDescent="0.45">
      <c r="A105" s="19">
        <v>342</v>
      </c>
      <c r="B105" s="19" t="s">
        <v>587</v>
      </c>
      <c r="C105" s="20" t="s">
        <v>243</v>
      </c>
      <c r="D105" s="19">
        <v>1980</v>
      </c>
      <c r="E105" s="19">
        <v>9</v>
      </c>
      <c r="F105" s="19">
        <v>1</v>
      </c>
      <c r="G105" s="23">
        <v>2586.6999999999998</v>
      </c>
      <c r="H105" s="23">
        <v>2586.6999999999998</v>
      </c>
      <c r="I105" s="23">
        <v>2586.6999999999998</v>
      </c>
      <c r="J105" s="19">
        <v>102</v>
      </c>
      <c r="K105" s="19" t="s">
        <v>365</v>
      </c>
      <c r="L105" s="19" t="s">
        <v>366</v>
      </c>
      <c r="M105" s="19"/>
      <c r="N105" s="28"/>
      <c r="O105" s="28"/>
      <c r="P105" s="28"/>
      <c r="Q105" s="28"/>
      <c r="R105" s="28"/>
      <c r="S105" s="28"/>
      <c r="T105" s="28"/>
      <c r="U105" s="31">
        <v>1851415.78</v>
      </c>
      <c r="V105" s="28"/>
      <c r="W105" s="28"/>
      <c r="X105" s="28"/>
      <c r="Y105" s="28"/>
      <c r="Z105" s="31">
        <v>75945.039999999994</v>
      </c>
      <c r="AA105" s="31">
        <f t="shared" si="9"/>
        <v>1927360.82</v>
      </c>
      <c r="AB105" s="28"/>
      <c r="AC105" s="28"/>
      <c r="AD105" s="31">
        <f t="shared" si="10"/>
        <v>1927360.82</v>
      </c>
      <c r="AE105" s="37"/>
      <c r="AF105" s="20">
        <v>2022</v>
      </c>
      <c r="AG105" s="20">
        <v>2022</v>
      </c>
    </row>
    <row r="106" spans="1:33" ht="84.9" customHeight="1" x14ac:dyDescent="0.45">
      <c r="A106" s="19">
        <v>343</v>
      </c>
      <c r="B106" s="19" t="s">
        <v>587</v>
      </c>
      <c r="C106" s="20" t="s">
        <v>244</v>
      </c>
      <c r="D106" s="19">
        <v>1980</v>
      </c>
      <c r="E106" s="19">
        <v>9</v>
      </c>
      <c r="F106" s="19">
        <v>4</v>
      </c>
      <c r="G106" s="39">
        <v>10922</v>
      </c>
      <c r="H106" s="23">
        <v>12439.4</v>
      </c>
      <c r="I106" s="23">
        <v>12439.4</v>
      </c>
      <c r="J106" s="19">
        <v>661</v>
      </c>
      <c r="K106" s="19" t="s">
        <v>365</v>
      </c>
      <c r="L106" s="19" t="s">
        <v>366</v>
      </c>
      <c r="M106" s="19"/>
      <c r="N106" s="28"/>
      <c r="O106" s="28"/>
      <c r="P106" s="28"/>
      <c r="Q106" s="28"/>
      <c r="R106" s="28"/>
      <c r="S106" s="28"/>
      <c r="T106" s="28"/>
      <c r="U106" s="31">
        <v>7405663.1399999997</v>
      </c>
      <c r="V106" s="28"/>
      <c r="W106" s="28"/>
      <c r="X106" s="28"/>
      <c r="Y106" s="28"/>
      <c r="Z106" s="31">
        <v>303780.15999999997</v>
      </c>
      <c r="AA106" s="31">
        <f t="shared" si="9"/>
        <v>7709443.2999999998</v>
      </c>
      <c r="AB106" s="28"/>
      <c r="AC106" s="28"/>
      <c r="AD106" s="31">
        <f t="shared" si="10"/>
        <v>7709443.2999999998</v>
      </c>
      <c r="AE106" s="37"/>
      <c r="AF106" s="20">
        <v>2022</v>
      </c>
      <c r="AG106" s="20">
        <v>2022</v>
      </c>
    </row>
    <row r="107" spans="1:33" ht="84.9" customHeight="1" x14ac:dyDescent="0.45">
      <c r="A107" s="19">
        <v>344</v>
      </c>
      <c r="B107" s="19" t="s">
        <v>587</v>
      </c>
      <c r="C107" s="20" t="s">
        <v>245</v>
      </c>
      <c r="D107" s="19">
        <v>1980</v>
      </c>
      <c r="E107" s="19">
        <v>9</v>
      </c>
      <c r="F107" s="19">
        <v>1</v>
      </c>
      <c r="G107" s="23">
        <v>1847.6</v>
      </c>
      <c r="H107" s="23">
        <v>1847.6</v>
      </c>
      <c r="I107" s="23">
        <v>1847.6</v>
      </c>
      <c r="J107" s="19">
        <v>81</v>
      </c>
      <c r="K107" s="19" t="s">
        <v>365</v>
      </c>
      <c r="L107" s="19" t="s">
        <v>366</v>
      </c>
      <c r="M107" s="19"/>
      <c r="N107" s="28"/>
      <c r="O107" s="28"/>
      <c r="P107" s="28"/>
      <c r="Q107" s="28"/>
      <c r="R107" s="28"/>
      <c r="S107" s="28"/>
      <c r="T107" s="28"/>
      <c r="U107" s="31">
        <v>1851415.78</v>
      </c>
      <c r="V107" s="28"/>
      <c r="W107" s="28"/>
      <c r="X107" s="28"/>
      <c r="Y107" s="28"/>
      <c r="Z107" s="31">
        <v>75945.039999999994</v>
      </c>
      <c r="AA107" s="31">
        <f t="shared" si="9"/>
        <v>1927360.82</v>
      </c>
      <c r="AB107" s="28"/>
      <c r="AC107" s="28"/>
      <c r="AD107" s="31">
        <f t="shared" si="10"/>
        <v>1927360.82</v>
      </c>
      <c r="AE107" s="37"/>
      <c r="AF107" s="20">
        <v>2022</v>
      </c>
      <c r="AG107" s="20">
        <v>2022</v>
      </c>
    </row>
    <row r="108" spans="1:33" ht="84.9" customHeight="1" x14ac:dyDescent="0.45">
      <c r="A108" s="19">
        <v>345</v>
      </c>
      <c r="B108" s="19" t="s">
        <v>587</v>
      </c>
      <c r="C108" s="20" t="s">
        <v>246</v>
      </c>
      <c r="D108" s="19">
        <v>1980</v>
      </c>
      <c r="E108" s="19">
        <v>9</v>
      </c>
      <c r="F108" s="19">
        <v>2</v>
      </c>
      <c r="G108" s="23">
        <v>4413.5</v>
      </c>
      <c r="H108" s="23">
        <v>4413.5</v>
      </c>
      <c r="I108" s="23">
        <v>4413.5</v>
      </c>
      <c r="J108" s="19">
        <v>170</v>
      </c>
      <c r="K108" s="19" t="s">
        <v>365</v>
      </c>
      <c r="L108" s="19" t="s">
        <v>366</v>
      </c>
      <c r="M108" s="19"/>
      <c r="N108" s="28"/>
      <c r="O108" s="28"/>
      <c r="P108" s="28"/>
      <c r="Q108" s="28"/>
      <c r="R108" s="28"/>
      <c r="S108" s="28"/>
      <c r="T108" s="28"/>
      <c r="U108" s="31">
        <v>3702831.57</v>
      </c>
      <c r="V108" s="28"/>
      <c r="W108" s="28"/>
      <c r="X108" s="28"/>
      <c r="Y108" s="28"/>
      <c r="Z108" s="31">
        <v>151890.07999999999</v>
      </c>
      <c r="AA108" s="31">
        <f t="shared" si="9"/>
        <v>3854721.65</v>
      </c>
      <c r="AB108" s="28"/>
      <c r="AC108" s="28"/>
      <c r="AD108" s="31">
        <f t="shared" si="10"/>
        <v>3854721.65</v>
      </c>
      <c r="AE108" s="37"/>
      <c r="AF108" s="20">
        <v>2022</v>
      </c>
      <c r="AG108" s="20">
        <v>2022</v>
      </c>
    </row>
    <row r="109" spans="1:33" ht="84.9" customHeight="1" x14ac:dyDescent="0.45">
      <c r="A109" s="19">
        <v>346</v>
      </c>
      <c r="B109" s="19" t="s">
        <v>587</v>
      </c>
      <c r="C109" s="22" t="s">
        <v>247</v>
      </c>
      <c r="D109" s="19" t="s">
        <v>408</v>
      </c>
      <c r="E109" s="19">
        <v>5</v>
      </c>
      <c r="F109" s="19">
        <v>8</v>
      </c>
      <c r="G109" s="23">
        <v>6302.2</v>
      </c>
      <c r="H109" s="23">
        <v>5765.8</v>
      </c>
      <c r="I109" s="23">
        <v>5765.8</v>
      </c>
      <c r="J109" s="19">
        <v>303</v>
      </c>
      <c r="K109" s="19" t="s">
        <v>365</v>
      </c>
      <c r="L109" s="19" t="s">
        <v>366</v>
      </c>
      <c r="M109" s="19"/>
      <c r="N109" s="28"/>
      <c r="O109" s="29">
        <v>2377151.2400000002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9">
        <v>124000</v>
      </c>
      <c r="AA109" s="29">
        <f t="shared" ref="AA109:AA111" si="11">SUM(O109+Z109)</f>
        <v>2501151.2400000002</v>
      </c>
      <c r="AB109" s="29">
        <v>2501151.2400000002</v>
      </c>
      <c r="AC109" s="28"/>
      <c r="AD109" s="28"/>
      <c r="AE109" s="37"/>
      <c r="AF109" s="22">
        <v>2022</v>
      </c>
      <c r="AG109" s="22">
        <v>2022</v>
      </c>
    </row>
    <row r="110" spans="1:33" ht="84.9" customHeight="1" x14ac:dyDescent="0.45">
      <c r="A110" s="19">
        <v>347</v>
      </c>
      <c r="B110" s="19" t="s">
        <v>587</v>
      </c>
      <c r="C110" s="22" t="s">
        <v>248</v>
      </c>
      <c r="D110" s="19">
        <v>1969</v>
      </c>
      <c r="E110" s="19">
        <v>5</v>
      </c>
      <c r="F110" s="19">
        <v>6</v>
      </c>
      <c r="G110" s="23">
        <v>4454.3999999999996</v>
      </c>
      <c r="H110" s="23">
        <v>4375.5</v>
      </c>
      <c r="I110" s="23">
        <v>4375.5</v>
      </c>
      <c r="J110" s="19">
        <v>216</v>
      </c>
      <c r="K110" s="19" t="s">
        <v>365</v>
      </c>
      <c r="L110" s="19" t="s">
        <v>366</v>
      </c>
      <c r="M110" s="19"/>
      <c r="N110" s="28"/>
      <c r="O110" s="29">
        <v>2377151.2400000002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9">
        <v>124000</v>
      </c>
      <c r="AA110" s="29">
        <f t="shared" si="11"/>
        <v>2501151.2400000002</v>
      </c>
      <c r="AB110" s="29">
        <v>2501151.2400000002</v>
      </c>
      <c r="AC110" s="28"/>
      <c r="AD110" s="28"/>
      <c r="AE110" s="37"/>
      <c r="AF110" s="22">
        <v>2022</v>
      </c>
      <c r="AG110" s="22">
        <v>2022</v>
      </c>
    </row>
    <row r="111" spans="1:33" ht="84.9" customHeight="1" x14ac:dyDescent="0.45">
      <c r="A111" s="19">
        <v>348</v>
      </c>
      <c r="B111" s="19" t="s">
        <v>587</v>
      </c>
      <c r="C111" s="22" t="s">
        <v>249</v>
      </c>
      <c r="D111" s="19">
        <v>1969</v>
      </c>
      <c r="E111" s="19">
        <v>5</v>
      </c>
      <c r="F111" s="19">
        <v>6</v>
      </c>
      <c r="G111" s="23">
        <v>4383.5</v>
      </c>
      <c r="H111" s="23">
        <v>4367.8</v>
      </c>
      <c r="I111" s="23">
        <v>4367.8</v>
      </c>
      <c r="J111" s="19">
        <v>232</v>
      </c>
      <c r="K111" s="19" t="s">
        <v>365</v>
      </c>
      <c r="L111" s="19" t="s">
        <v>366</v>
      </c>
      <c r="M111" s="19"/>
      <c r="N111" s="28"/>
      <c r="O111" s="29">
        <v>2377151.2400000002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9">
        <v>124000</v>
      </c>
      <c r="AA111" s="29">
        <f t="shared" si="11"/>
        <v>2501151.2400000002</v>
      </c>
      <c r="AB111" s="29">
        <v>2501151.2400000002</v>
      </c>
      <c r="AC111" s="28"/>
      <c r="AD111" s="28"/>
      <c r="AE111" s="37"/>
      <c r="AF111" s="22">
        <v>2022</v>
      </c>
      <c r="AG111" s="22">
        <v>2022</v>
      </c>
    </row>
    <row r="112" spans="1:33" ht="84.9" customHeight="1" x14ac:dyDescent="0.45">
      <c r="A112" s="19">
        <v>349</v>
      </c>
      <c r="B112" s="19" t="s">
        <v>587</v>
      </c>
      <c r="C112" s="19" t="s">
        <v>432</v>
      </c>
      <c r="D112" s="19">
        <v>1966</v>
      </c>
      <c r="E112" s="19">
        <v>5</v>
      </c>
      <c r="F112" s="19">
        <v>8</v>
      </c>
      <c r="G112" s="39">
        <v>6425.3</v>
      </c>
      <c r="H112" s="23">
        <f>5800.9+57.3</f>
        <v>5858.2</v>
      </c>
      <c r="I112" s="23">
        <v>3999.6</v>
      </c>
      <c r="J112" s="19">
        <v>230</v>
      </c>
      <c r="K112" s="19" t="s">
        <v>365</v>
      </c>
      <c r="L112" s="19" t="s">
        <v>366</v>
      </c>
      <c r="M112" s="19"/>
      <c r="N112" s="28"/>
      <c r="O112" s="28">
        <f>ROUND(H112*3349.66*1.015,2)</f>
        <v>19917322.890000001</v>
      </c>
      <c r="P112" s="28">
        <f>ROUND(H112*650.2*1.015,2)</f>
        <v>3866136.66</v>
      </c>
      <c r="Q112" s="28">
        <f>ROUND(H112*643.1*1.015,2)</f>
        <v>3823919.55</v>
      </c>
      <c r="R112" s="28">
        <f>1197448.78*1.015</f>
        <v>1215410.5116999999</v>
      </c>
      <c r="S112" s="28">
        <f>ROUND(H112*644.55*1.015,2)</f>
        <v>3832541.35</v>
      </c>
      <c r="T112" s="30"/>
      <c r="U112" s="28"/>
      <c r="V112" s="28"/>
      <c r="W112" s="28"/>
      <c r="X112" s="28"/>
      <c r="Y112" s="28"/>
      <c r="Z112" s="28">
        <v>1457558.06</v>
      </c>
      <c r="AA112" s="28">
        <f>SUM(O112+P112+Q112+R112+S112+Z112)</f>
        <v>34112889.021700002</v>
      </c>
      <c r="AB112" s="28"/>
      <c r="AC112" s="28"/>
      <c r="AD112" s="28">
        <f t="shared" si="10"/>
        <v>34112889.021700002</v>
      </c>
      <c r="AE112" s="37"/>
      <c r="AF112" s="19">
        <v>2022</v>
      </c>
      <c r="AG112" s="19">
        <v>2023</v>
      </c>
    </row>
    <row r="113" spans="1:33" ht="84.9" customHeight="1" x14ac:dyDescent="0.45">
      <c r="A113" s="19">
        <v>350</v>
      </c>
      <c r="B113" s="19" t="s">
        <v>587</v>
      </c>
      <c r="C113" s="19" t="s">
        <v>433</v>
      </c>
      <c r="D113" s="19">
        <v>1955</v>
      </c>
      <c r="E113" s="19">
        <v>5</v>
      </c>
      <c r="F113" s="19">
        <v>4</v>
      </c>
      <c r="G113" s="23">
        <v>5210.3999999999996</v>
      </c>
      <c r="H113" s="23">
        <f>3409.3+1799.3</f>
        <v>5208.6000000000004</v>
      </c>
      <c r="I113" s="23">
        <v>3409.3</v>
      </c>
      <c r="J113" s="19" t="s">
        <v>364</v>
      </c>
      <c r="K113" s="19" t="s">
        <v>365</v>
      </c>
      <c r="L113" s="19" t="s">
        <v>366</v>
      </c>
      <c r="M113" s="19"/>
      <c r="N113" s="28"/>
      <c r="O113" s="28"/>
      <c r="P113" s="28"/>
      <c r="Q113" s="28"/>
      <c r="R113" s="28"/>
      <c r="S113" s="28"/>
      <c r="T113" s="28">
        <f>ROUND(H113*338.11*1.015,2)</f>
        <v>1787495.94</v>
      </c>
      <c r="U113" s="28"/>
      <c r="V113" s="28"/>
      <c r="W113" s="28"/>
      <c r="X113" s="28"/>
      <c r="Y113" s="28"/>
      <c r="Z113" s="28">
        <v>486639.82</v>
      </c>
      <c r="AA113" s="28">
        <f>SUM(T113+Z113)</f>
        <v>2274135.7599999998</v>
      </c>
      <c r="AB113" s="28"/>
      <c r="AC113" s="28"/>
      <c r="AD113" s="28">
        <f>SUM(N113:Z113)</f>
        <v>2274135.7599999998</v>
      </c>
      <c r="AE113" s="37"/>
      <c r="AF113" s="19">
        <v>2020</v>
      </c>
      <c r="AG113" s="19">
        <v>2022</v>
      </c>
    </row>
    <row r="114" spans="1:33" ht="84.9" customHeight="1" x14ac:dyDescent="0.45">
      <c r="A114" s="19">
        <v>351</v>
      </c>
      <c r="B114" s="19" t="s">
        <v>587</v>
      </c>
      <c r="C114" s="20" t="s">
        <v>250</v>
      </c>
      <c r="D114" s="19">
        <v>1978</v>
      </c>
      <c r="E114" s="19">
        <v>9</v>
      </c>
      <c r="F114" s="19">
        <v>3</v>
      </c>
      <c r="G114" s="23">
        <v>8434.5</v>
      </c>
      <c r="H114" s="23">
        <v>8434.5</v>
      </c>
      <c r="I114" s="23">
        <v>8434.5</v>
      </c>
      <c r="J114" s="19">
        <v>264</v>
      </c>
      <c r="K114" s="19" t="s">
        <v>365</v>
      </c>
      <c r="L114" s="19" t="s">
        <v>366</v>
      </c>
      <c r="M114" s="19"/>
      <c r="N114" s="28"/>
      <c r="O114" s="28"/>
      <c r="P114" s="28"/>
      <c r="Q114" s="28"/>
      <c r="R114" s="28"/>
      <c r="S114" s="28"/>
      <c r="T114" s="28"/>
      <c r="U114" s="31">
        <v>5554247.3499999996</v>
      </c>
      <c r="V114" s="28"/>
      <c r="W114" s="28"/>
      <c r="X114" s="28"/>
      <c r="Y114" s="28"/>
      <c r="Z114" s="31">
        <v>227835.12</v>
      </c>
      <c r="AA114" s="31">
        <f t="shared" ref="AA114:AA128" si="12">SUM(U114+Z114)</f>
        <v>5782082.4699999997</v>
      </c>
      <c r="AB114" s="41"/>
      <c r="AC114" s="28"/>
      <c r="AD114" s="31">
        <f t="shared" ref="AD114:AD128" si="13">AA114</f>
        <v>5782082.4699999997</v>
      </c>
      <c r="AE114" s="37"/>
      <c r="AF114" s="20">
        <v>2022</v>
      </c>
      <c r="AG114" s="20">
        <v>2022</v>
      </c>
    </row>
    <row r="115" spans="1:33" ht="84.9" customHeight="1" x14ac:dyDescent="0.45">
      <c r="A115" s="19">
        <v>352</v>
      </c>
      <c r="B115" s="19" t="s">
        <v>587</v>
      </c>
      <c r="C115" s="20" t="s">
        <v>251</v>
      </c>
      <c r="D115" s="19">
        <v>1980</v>
      </c>
      <c r="E115" s="19">
        <v>9</v>
      </c>
      <c r="F115" s="19">
        <v>4</v>
      </c>
      <c r="G115" s="23">
        <v>12557.4</v>
      </c>
      <c r="H115" s="23">
        <v>12557.4</v>
      </c>
      <c r="I115" s="23">
        <v>12557.4</v>
      </c>
      <c r="J115" s="19">
        <v>505</v>
      </c>
      <c r="K115" s="19" t="s">
        <v>365</v>
      </c>
      <c r="L115" s="19" t="s">
        <v>366</v>
      </c>
      <c r="M115" s="19"/>
      <c r="N115" s="28"/>
      <c r="O115" s="28"/>
      <c r="P115" s="28"/>
      <c r="Q115" s="28"/>
      <c r="R115" s="28"/>
      <c r="S115" s="28"/>
      <c r="T115" s="28"/>
      <c r="U115" s="31">
        <v>7405663.1399999997</v>
      </c>
      <c r="V115" s="28"/>
      <c r="W115" s="28"/>
      <c r="X115" s="28"/>
      <c r="Y115" s="28"/>
      <c r="Z115" s="31">
        <v>303780.15999999997</v>
      </c>
      <c r="AA115" s="31">
        <f t="shared" si="12"/>
        <v>7709443.2999999998</v>
      </c>
      <c r="AB115" s="41"/>
      <c r="AC115" s="28"/>
      <c r="AD115" s="31">
        <f t="shared" si="13"/>
        <v>7709443.2999999998</v>
      </c>
      <c r="AE115" s="37"/>
      <c r="AF115" s="20">
        <v>2022</v>
      </c>
      <c r="AG115" s="20">
        <v>2022</v>
      </c>
    </row>
    <row r="116" spans="1:33" ht="84.9" customHeight="1" x14ac:dyDescent="0.45">
      <c r="A116" s="19">
        <v>353</v>
      </c>
      <c r="B116" s="19" t="s">
        <v>587</v>
      </c>
      <c r="C116" s="20" t="s">
        <v>252</v>
      </c>
      <c r="D116" s="19">
        <v>1980</v>
      </c>
      <c r="E116" s="19">
        <v>9</v>
      </c>
      <c r="F116" s="19">
        <v>1</v>
      </c>
      <c r="G116" s="23">
        <v>3006.6</v>
      </c>
      <c r="H116" s="23">
        <v>3006.6</v>
      </c>
      <c r="I116" s="23">
        <v>3006.6</v>
      </c>
      <c r="J116" s="19">
        <v>166</v>
      </c>
      <c r="K116" s="19" t="s">
        <v>365</v>
      </c>
      <c r="L116" s="19" t="s">
        <v>366</v>
      </c>
      <c r="M116" s="19"/>
      <c r="N116" s="28"/>
      <c r="O116" s="28"/>
      <c r="P116" s="28"/>
      <c r="Q116" s="28"/>
      <c r="R116" s="28"/>
      <c r="S116" s="28"/>
      <c r="T116" s="28"/>
      <c r="U116" s="31">
        <v>1851415.78</v>
      </c>
      <c r="V116" s="28"/>
      <c r="W116" s="28"/>
      <c r="X116" s="28"/>
      <c r="Y116" s="28"/>
      <c r="Z116" s="31">
        <v>75945.039999999994</v>
      </c>
      <c r="AA116" s="31">
        <f t="shared" si="12"/>
        <v>1927360.82</v>
      </c>
      <c r="AB116" s="41"/>
      <c r="AC116" s="28"/>
      <c r="AD116" s="31">
        <f t="shared" si="13"/>
        <v>1927360.82</v>
      </c>
      <c r="AE116" s="37"/>
      <c r="AF116" s="20">
        <v>2022</v>
      </c>
      <c r="AG116" s="20">
        <v>2022</v>
      </c>
    </row>
    <row r="117" spans="1:33" ht="84.9" customHeight="1" x14ac:dyDescent="0.45">
      <c r="A117" s="19">
        <v>354</v>
      </c>
      <c r="B117" s="19" t="s">
        <v>587</v>
      </c>
      <c r="C117" s="20" t="s">
        <v>253</v>
      </c>
      <c r="D117" s="19">
        <v>1981</v>
      </c>
      <c r="E117" s="19">
        <v>9</v>
      </c>
      <c r="F117" s="19">
        <v>1</v>
      </c>
      <c r="G117" s="23">
        <v>2081.1</v>
      </c>
      <c r="H117" s="23">
        <v>2081.1</v>
      </c>
      <c r="I117" s="23">
        <v>2081.1</v>
      </c>
      <c r="J117" s="19">
        <v>88</v>
      </c>
      <c r="K117" s="19" t="s">
        <v>365</v>
      </c>
      <c r="L117" s="19" t="s">
        <v>366</v>
      </c>
      <c r="M117" s="19"/>
      <c r="N117" s="28"/>
      <c r="O117" s="28"/>
      <c r="P117" s="28"/>
      <c r="Q117" s="28"/>
      <c r="R117" s="28"/>
      <c r="S117" s="28"/>
      <c r="T117" s="28"/>
      <c r="U117" s="31">
        <v>1851415.78</v>
      </c>
      <c r="V117" s="28"/>
      <c r="W117" s="28"/>
      <c r="X117" s="28"/>
      <c r="Y117" s="28"/>
      <c r="Z117" s="31">
        <v>75945.039999999994</v>
      </c>
      <c r="AA117" s="31">
        <f t="shared" si="12"/>
        <v>1927360.82</v>
      </c>
      <c r="AB117" s="41"/>
      <c r="AC117" s="28"/>
      <c r="AD117" s="31">
        <f t="shared" si="13"/>
        <v>1927360.82</v>
      </c>
      <c r="AE117" s="37"/>
      <c r="AF117" s="20">
        <v>2022</v>
      </c>
      <c r="AG117" s="20">
        <v>2022</v>
      </c>
    </row>
    <row r="118" spans="1:33" ht="84.9" customHeight="1" x14ac:dyDescent="0.45">
      <c r="A118" s="19">
        <v>355</v>
      </c>
      <c r="B118" s="19" t="s">
        <v>587</v>
      </c>
      <c r="C118" s="20" t="s">
        <v>254</v>
      </c>
      <c r="D118" s="19">
        <v>1980</v>
      </c>
      <c r="E118" s="19">
        <v>9</v>
      </c>
      <c r="F118" s="19">
        <v>2</v>
      </c>
      <c r="G118" s="23">
        <v>4425.2</v>
      </c>
      <c r="H118" s="23">
        <v>4425.2</v>
      </c>
      <c r="I118" s="23">
        <v>4425.2</v>
      </c>
      <c r="J118" s="19">
        <v>167</v>
      </c>
      <c r="K118" s="19" t="s">
        <v>365</v>
      </c>
      <c r="L118" s="19" t="s">
        <v>366</v>
      </c>
      <c r="M118" s="19"/>
      <c r="N118" s="28"/>
      <c r="O118" s="28"/>
      <c r="P118" s="28"/>
      <c r="Q118" s="28"/>
      <c r="R118" s="28"/>
      <c r="S118" s="28"/>
      <c r="T118" s="28"/>
      <c r="U118" s="31">
        <v>3702831.57</v>
      </c>
      <c r="V118" s="28"/>
      <c r="W118" s="28"/>
      <c r="X118" s="28"/>
      <c r="Y118" s="28"/>
      <c r="Z118" s="31">
        <v>151890.07999999999</v>
      </c>
      <c r="AA118" s="31">
        <f t="shared" si="12"/>
        <v>3854721.65</v>
      </c>
      <c r="AB118" s="41"/>
      <c r="AC118" s="28"/>
      <c r="AD118" s="31">
        <f t="shared" si="13"/>
        <v>3854721.65</v>
      </c>
      <c r="AE118" s="37"/>
      <c r="AF118" s="20">
        <v>2022</v>
      </c>
      <c r="AG118" s="20">
        <v>2022</v>
      </c>
    </row>
    <row r="119" spans="1:33" ht="84.9" customHeight="1" x14ac:dyDescent="0.45">
      <c r="A119" s="19">
        <v>356</v>
      </c>
      <c r="B119" s="19" t="s">
        <v>587</v>
      </c>
      <c r="C119" s="20" t="s">
        <v>255</v>
      </c>
      <c r="D119" s="19">
        <v>1979</v>
      </c>
      <c r="E119" s="19">
        <v>9</v>
      </c>
      <c r="F119" s="19">
        <v>1</v>
      </c>
      <c r="G119" s="23">
        <v>2697.4</v>
      </c>
      <c r="H119" s="23">
        <v>2697.4</v>
      </c>
      <c r="I119" s="23">
        <v>2697.4</v>
      </c>
      <c r="J119" s="19">
        <v>105</v>
      </c>
      <c r="K119" s="19" t="s">
        <v>365</v>
      </c>
      <c r="L119" s="19" t="s">
        <v>366</v>
      </c>
      <c r="M119" s="19"/>
      <c r="N119" s="28"/>
      <c r="O119" s="28"/>
      <c r="P119" s="28"/>
      <c r="Q119" s="28"/>
      <c r="R119" s="28"/>
      <c r="S119" s="28"/>
      <c r="T119" s="28"/>
      <c r="U119" s="31">
        <v>1851415.78</v>
      </c>
      <c r="V119" s="28"/>
      <c r="W119" s="28"/>
      <c r="X119" s="28"/>
      <c r="Y119" s="28"/>
      <c r="Z119" s="31">
        <v>75945.039999999994</v>
      </c>
      <c r="AA119" s="31">
        <f t="shared" si="12"/>
        <v>1927360.82</v>
      </c>
      <c r="AB119" s="41"/>
      <c r="AC119" s="28"/>
      <c r="AD119" s="31">
        <f t="shared" si="13"/>
        <v>1927360.82</v>
      </c>
      <c r="AE119" s="37"/>
      <c r="AF119" s="20">
        <v>2022</v>
      </c>
      <c r="AG119" s="20">
        <v>2022</v>
      </c>
    </row>
    <row r="120" spans="1:33" ht="84.9" customHeight="1" x14ac:dyDescent="0.45">
      <c r="A120" s="19">
        <v>357</v>
      </c>
      <c r="B120" s="19" t="s">
        <v>587</v>
      </c>
      <c r="C120" s="20" t="s">
        <v>256</v>
      </c>
      <c r="D120" s="19">
        <v>1979</v>
      </c>
      <c r="E120" s="19">
        <v>9</v>
      </c>
      <c r="F120" s="19">
        <v>2</v>
      </c>
      <c r="G120" s="23">
        <v>6128.9</v>
      </c>
      <c r="H120" s="23">
        <v>6128.9</v>
      </c>
      <c r="I120" s="23">
        <v>6128.9</v>
      </c>
      <c r="J120" s="19">
        <v>328</v>
      </c>
      <c r="K120" s="19" t="s">
        <v>365</v>
      </c>
      <c r="L120" s="19" t="s">
        <v>366</v>
      </c>
      <c r="M120" s="19"/>
      <c r="N120" s="28"/>
      <c r="O120" s="28"/>
      <c r="P120" s="28"/>
      <c r="Q120" s="28"/>
      <c r="R120" s="28"/>
      <c r="S120" s="28"/>
      <c r="T120" s="28"/>
      <c r="U120" s="31">
        <v>3702831.57</v>
      </c>
      <c r="V120" s="28"/>
      <c r="W120" s="28"/>
      <c r="X120" s="28"/>
      <c r="Y120" s="28"/>
      <c r="Z120" s="31">
        <v>151890.07999999999</v>
      </c>
      <c r="AA120" s="31">
        <f t="shared" si="12"/>
        <v>3854721.65</v>
      </c>
      <c r="AB120" s="41"/>
      <c r="AC120" s="28"/>
      <c r="AD120" s="31">
        <f t="shared" si="13"/>
        <v>3854721.65</v>
      </c>
      <c r="AE120" s="37"/>
      <c r="AF120" s="20">
        <v>2022</v>
      </c>
      <c r="AG120" s="20">
        <v>2022</v>
      </c>
    </row>
    <row r="121" spans="1:33" ht="84.9" customHeight="1" x14ac:dyDescent="0.45">
      <c r="A121" s="19">
        <v>358</v>
      </c>
      <c r="B121" s="19" t="s">
        <v>587</v>
      </c>
      <c r="C121" s="20" t="s">
        <v>257</v>
      </c>
      <c r="D121" s="19">
        <v>1976</v>
      </c>
      <c r="E121" s="19">
        <v>9</v>
      </c>
      <c r="F121" s="19">
        <v>4</v>
      </c>
      <c r="G121" s="23">
        <v>9237.2999999999993</v>
      </c>
      <c r="H121" s="23">
        <v>9237.2999999999993</v>
      </c>
      <c r="I121" s="23">
        <v>9237.2999999999993</v>
      </c>
      <c r="J121" s="19">
        <v>360</v>
      </c>
      <c r="K121" s="19" t="s">
        <v>365</v>
      </c>
      <c r="L121" s="19" t="s">
        <v>366</v>
      </c>
      <c r="M121" s="19"/>
      <c r="N121" s="28"/>
      <c r="O121" s="28"/>
      <c r="P121" s="28"/>
      <c r="Q121" s="28"/>
      <c r="R121" s="28"/>
      <c r="S121" s="28"/>
      <c r="T121" s="28"/>
      <c r="U121" s="31">
        <v>7405663.1399999997</v>
      </c>
      <c r="V121" s="28"/>
      <c r="W121" s="28"/>
      <c r="X121" s="28"/>
      <c r="Y121" s="28"/>
      <c r="Z121" s="31">
        <v>303780.15999999997</v>
      </c>
      <c r="AA121" s="31">
        <f t="shared" si="12"/>
        <v>7709443.2999999998</v>
      </c>
      <c r="AB121" s="41"/>
      <c r="AC121" s="28"/>
      <c r="AD121" s="31">
        <f t="shared" si="13"/>
        <v>7709443.2999999998</v>
      </c>
      <c r="AE121" s="37"/>
      <c r="AF121" s="20">
        <v>2022</v>
      </c>
      <c r="AG121" s="20">
        <v>2022</v>
      </c>
    </row>
    <row r="122" spans="1:33" ht="84.9" customHeight="1" x14ac:dyDescent="0.45">
      <c r="A122" s="19">
        <v>359</v>
      </c>
      <c r="B122" s="19" t="s">
        <v>587</v>
      </c>
      <c r="C122" s="20" t="s">
        <v>258</v>
      </c>
      <c r="D122" s="19">
        <v>1976</v>
      </c>
      <c r="E122" s="19">
        <v>9</v>
      </c>
      <c r="F122" s="19">
        <v>4</v>
      </c>
      <c r="G122" s="23">
        <v>9332.6</v>
      </c>
      <c r="H122" s="23">
        <v>9332.6</v>
      </c>
      <c r="I122" s="23">
        <v>9332.6</v>
      </c>
      <c r="J122" s="19">
        <v>351</v>
      </c>
      <c r="K122" s="19" t="s">
        <v>365</v>
      </c>
      <c r="L122" s="19" t="s">
        <v>366</v>
      </c>
      <c r="M122" s="19"/>
      <c r="N122" s="28"/>
      <c r="O122" s="28"/>
      <c r="P122" s="28"/>
      <c r="Q122" s="28"/>
      <c r="R122" s="28"/>
      <c r="S122" s="28"/>
      <c r="T122" s="28"/>
      <c r="U122" s="31">
        <v>7405663.1399999997</v>
      </c>
      <c r="V122" s="28"/>
      <c r="W122" s="28"/>
      <c r="X122" s="28"/>
      <c r="Y122" s="28"/>
      <c r="Z122" s="31">
        <v>303780.15999999997</v>
      </c>
      <c r="AA122" s="31">
        <f t="shared" si="12"/>
        <v>7709443.2999999998</v>
      </c>
      <c r="AB122" s="41"/>
      <c r="AC122" s="28"/>
      <c r="AD122" s="31">
        <f t="shared" si="13"/>
        <v>7709443.2999999998</v>
      </c>
      <c r="AE122" s="37"/>
      <c r="AF122" s="20">
        <v>2022</v>
      </c>
      <c r="AG122" s="20">
        <v>2022</v>
      </c>
    </row>
    <row r="123" spans="1:33" ht="84.9" customHeight="1" x14ac:dyDescent="0.45">
      <c r="A123" s="19">
        <v>360</v>
      </c>
      <c r="B123" s="19" t="s">
        <v>587</v>
      </c>
      <c r="C123" s="20" t="s">
        <v>259</v>
      </c>
      <c r="D123" s="19">
        <v>1976</v>
      </c>
      <c r="E123" s="19">
        <v>9</v>
      </c>
      <c r="F123" s="19">
        <v>2</v>
      </c>
      <c r="G123" s="23">
        <v>4761.8</v>
      </c>
      <c r="H123" s="23">
        <v>4761.8</v>
      </c>
      <c r="I123" s="23">
        <v>4761.8</v>
      </c>
      <c r="J123" s="19">
        <v>177</v>
      </c>
      <c r="K123" s="19" t="s">
        <v>365</v>
      </c>
      <c r="L123" s="19" t="s">
        <v>366</v>
      </c>
      <c r="M123" s="19"/>
      <c r="N123" s="28"/>
      <c r="O123" s="28"/>
      <c r="P123" s="28"/>
      <c r="Q123" s="28"/>
      <c r="R123" s="28"/>
      <c r="S123" s="28"/>
      <c r="T123" s="28"/>
      <c r="U123" s="31">
        <v>3702831.57</v>
      </c>
      <c r="V123" s="28"/>
      <c r="W123" s="28"/>
      <c r="X123" s="28"/>
      <c r="Y123" s="28"/>
      <c r="Z123" s="31">
        <v>151890.07999999999</v>
      </c>
      <c r="AA123" s="31">
        <f t="shared" si="12"/>
        <v>3854721.65</v>
      </c>
      <c r="AB123" s="41"/>
      <c r="AC123" s="28"/>
      <c r="AD123" s="31">
        <f t="shared" si="13"/>
        <v>3854721.65</v>
      </c>
      <c r="AE123" s="37"/>
      <c r="AF123" s="20">
        <v>2022</v>
      </c>
      <c r="AG123" s="20">
        <v>2022</v>
      </c>
    </row>
    <row r="124" spans="1:33" ht="84.9" customHeight="1" x14ac:dyDescent="0.45">
      <c r="A124" s="19">
        <v>361</v>
      </c>
      <c r="B124" s="19" t="s">
        <v>587</v>
      </c>
      <c r="C124" s="20" t="s">
        <v>260</v>
      </c>
      <c r="D124" s="19">
        <v>1976</v>
      </c>
      <c r="E124" s="19">
        <v>9</v>
      </c>
      <c r="F124" s="19">
        <v>4</v>
      </c>
      <c r="G124" s="23">
        <v>9298.4</v>
      </c>
      <c r="H124" s="23">
        <v>9298.4</v>
      </c>
      <c r="I124" s="23">
        <v>9298.4</v>
      </c>
      <c r="J124" s="19">
        <v>342</v>
      </c>
      <c r="K124" s="19" t="s">
        <v>365</v>
      </c>
      <c r="L124" s="19" t="s">
        <v>366</v>
      </c>
      <c r="M124" s="19"/>
      <c r="N124" s="28"/>
      <c r="O124" s="28"/>
      <c r="P124" s="28"/>
      <c r="Q124" s="28"/>
      <c r="R124" s="28"/>
      <c r="S124" s="28"/>
      <c r="T124" s="28"/>
      <c r="U124" s="31">
        <v>7405663.1399999997</v>
      </c>
      <c r="V124" s="28"/>
      <c r="W124" s="28"/>
      <c r="X124" s="28"/>
      <c r="Y124" s="28"/>
      <c r="Z124" s="31">
        <v>303780.15999999997</v>
      </c>
      <c r="AA124" s="31">
        <f t="shared" si="12"/>
        <v>7709443.2999999998</v>
      </c>
      <c r="AB124" s="41"/>
      <c r="AC124" s="28"/>
      <c r="AD124" s="31">
        <f t="shared" si="13"/>
        <v>7709443.2999999998</v>
      </c>
      <c r="AE124" s="37"/>
      <c r="AF124" s="20">
        <v>2022</v>
      </c>
      <c r="AG124" s="20">
        <v>2022</v>
      </c>
    </row>
    <row r="125" spans="1:33" ht="84.9" customHeight="1" x14ac:dyDescent="0.45">
      <c r="A125" s="19">
        <v>362</v>
      </c>
      <c r="B125" s="19" t="s">
        <v>587</v>
      </c>
      <c r="C125" s="20" t="s">
        <v>261</v>
      </c>
      <c r="D125" s="19">
        <v>1978</v>
      </c>
      <c r="E125" s="19">
        <v>9</v>
      </c>
      <c r="F125" s="19">
        <v>3</v>
      </c>
      <c r="G125" s="23">
        <v>9148</v>
      </c>
      <c r="H125" s="23">
        <v>9148</v>
      </c>
      <c r="I125" s="23">
        <v>7845.8</v>
      </c>
      <c r="J125" s="19" t="s">
        <v>364</v>
      </c>
      <c r="K125" s="19" t="s">
        <v>365</v>
      </c>
      <c r="L125" s="19" t="s">
        <v>366</v>
      </c>
      <c r="M125" s="19"/>
      <c r="N125" s="28"/>
      <c r="O125" s="28"/>
      <c r="P125" s="28"/>
      <c r="Q125" s="28"/>
      <c r="R125" s="28"/>
      <c r="S125" s="28"/>
      <c r="T125" s="28"/>
      <c r="U125" s="31">
        <v>5554247.3499999996</v>
      </c>
      <c r="V125" s="28"/>
      <c r="W125" s="28"/>
      <c r="X125" s="28"/>
      <c r="Y125" s="28"/>
      <c r="Z125" s="31">
        <v>227835.12</v>
      </c>
      <c r="AA125" s="31">
        <f t="shared" si="12"/>
        <v>5782082.4699999997</v>
      </c>
      <c r="AB125" s="41"/>
      <c r="AC125" s="28"/>
      <c r="AD125" s="31">
        <f t="shared" si="13"/>
        <v>5782082.4699999997</v>
      </c>
      <c r="AE125" s="37"/>
      <c r="AF125" s="20">
        <v>2022</v>
      </c>
      <c r="AG125" s="20">
        <v>2022</v>
      </c>
    </row>
    <row r="126" spans="1:33" ht="84.9" customHeight="1" x14ac:dyDescent="0.45">
      <c r="A126" s="19">
        <v>363</v>
      </c>
      <c r="B126" s="19" t="s">
        <v>587</v>
      </c>
      <c r="C126" s="20" t="s">
        <v>262</v>
      </c>
      <c r="D126" s="19">
        <v>1978</v>
      </c>
      <c r="E126" s="19">
        <v>9</v>
      </c>
      <c r="F126" s="19">
        <v>2</v>
      </c>
      <c r="G126" s="23">
        <v>3908.3</v>
      </c>
      <c r="H126" s="23">
        <v>3908.3</v>
      </c>
      <c r="I126" s="23">
        <v>3878.4</v>
      </c>
      <c r="J126" s="19" t="s">
        <v>364</v>
      </c>
      <c r="K126" s="19" t="s">
        <v>365</v>
      </c>
      <c r="L126" s="19" t="s">
        <v>366</v>
      </c>
      <c r="M126" s="19"/>
      <c r="N126" s="28"/>
      <c r="O126" s="28"/>
      <c r="P126" s="28"/>
      <c r="Q126" s="28"/>
      <c r="R126" s="28"/>
      <c r="S126" s="28"/>
      <c r="T126" s="28"/>
      <c r="U126" s="31">
        <v>3702831.57</v>
      </c>
      <c r="V126" s="28"/>
      <c r="W126" s="28"/>
      <c r="X126" s="28"/>
      <c r="Y126" s="28"/>
      <c r="Z126" s="31">
        <v>151890.07999999999</v>
      </c>
      <c r="AA126" s="31">
        <f t="shared" si="12"/>
        <v>3854721.65</v>
      </c>
      <c r="AB126" s="41"/>
      <c r="AC126" s="28"/>
      <c r="AD126" s="31">
        <f t="shared" si="13"/>
        <v>3854721.65</v>
      </c>
      <c r="AE126" s="37"/>
      <c r="AF126" s="20">
        <v>2022</v>
      </c>
      <c r="AG126" s="20">
        <v>2022</v>
      </c>
    </row>
    <row r="127" spans="1:33" ht="84.9" customHeight="1" x14ac:dyDescent="0.45">
      <c r="A127" s="19">
        <v>364</v>
      </c>
      <c r="B127" s="19" t="s">
        <v>587</v>
      </c>
      <c r="C127" s="20" t="s">
        <v>263</v>
      </c>
      <c r="D127" s="19">
        <v>1979</v>
      </c>
      <c r="E127" s="19">
        <v>14</v>
      </c>
      <c r="F127" s="19">
        <v>1</v>
      </c>
      <c r="G127" s="23">
        <v>5621.8</v>
      </c>
      <c r="H127" s="23">
        <v>5621.8</v>
      </c>
      <c r="I127" s="23">
        <v>5621.8</v>
      </c>
      <c r="J127" s="19">
        <v>201</v>
      </c>
      <c r="K127" s="19" t="s">
        <v>365</v>
      </c>
      <c r="L127" s="19" t="s">
        <v>366</v>
      </c>
      <c r="M127" s="19"/>
      <c r="N127" s="28"/>
      <c r="O127" s="28"/>
      <c r="P127" s="28"/>
      <c r="Q127" s="28"/>
      <c r="R127" s="28"/>
      <c r="S127" s="28"/>
      <c r="T127" s="28"/>
      <c r="U127" s="31">
        <v>1851415.78</v>
      </c>
      <c r="V127" s="28"/>
      <c r="W127" s="28"/>
      <c r="X127" s="28"/>
      <c r="Y127" s="28"/>
      <c r="Z127" s="31">
        <v>75945.039999999994</v>
      </c>
      <c r="AA127" s="31">
        <f t="shared" si="12"/>
        <v>1927360.82</v>
      </c>
      <c r="AB127" s="41"/>
      <c r="AC127" s="28"/>
      <c r="AD127" s="31">
        <f t="shared" si="13"/>
        <v>1927360.82</v>
      </c>
      <c r="AE127" s="37"/>
      <c r="AF127" s="20">
        <v>2022</v>
      </c>
      <c r="AG127" s="20">
        <v>2022</v>
      </c>
    </row>
    <row r="128" spans="1:33" ht="84.9" customHeight="1" x14ac:dyDescent="0.45">
      <c r="A128" s="19">
        <v>365</v>
      </c>
      <c r="B128" s="19" t="s">
        <v>587</v>
      </c>
      <c r="C128" s="20" t="s">
        <v>264</v>
      </c>
      <c r="D128" s="19">
        <v>1985</v>
      </c>
      <c r="E128" s="19">
        <v>14</v>
      </c>
      <c r="F128" s="19">
        <v>1</v>
      </c>
      <c r="G128" s="23">
        <v>5567</v>
      </c>
      <c r="H128" s="23">
        <v>5567</v>
      </c>
      <c r="I128" s="23">
        <v>5567</v>
      </c>
      <c r="J128" s="19">
        <v>196</v>
      </c>
      <c r="K128" s="19" t="s">
        <v>365</v>
      </c>
      <c r="L128" s="19" t="s">
        <v>366</v>
      </c>
      <c r="M128" s="19"/>
      <c r="N128" s="28"/>
      <c r="O128" s="28"/>
      <c r="P128" s="28"/>
      <c r="Q128" s="28"/>
      <c r="R128" s="28"/>
      <c r="S128" s="28"/>
      <c r="T128" s="28"/>
      <c r="U128" s="31">
        <v>1851415.78</v>
      </c>
      <c r="V128" s="28"/>
      <c r="W128" s="28"/>
      <c r="X128" s="28"/>
      <c r="Y128" s="28"/>
      <c r="Z128" s="31">
        <v>75945.039999999994</v>
      </c>
      <c r="AA128" s="31">
        <f t="shared" si="12"/>
        <v>1927360.82</v>
      </c>
      <c r="AB128" s="41"/>
      <c r="AC128" s="28"/>
      <c r="AD128" s="31">
        <f t="shared" si="13"/>
        <v>1927360.82</v>
      </c>
      <c r="AE128" s="37"/>
      <c r="AF128" s="20">
        <v>2022</v>
      </c>
      <c r="AG128" s="20">
        <v>2022</v>
      </c>
    </row>
    <row r="129" spans="1:33" ht="84.9" customHeight="1" x14ac:dyDescent="0.45">
      <c r="A129" s="19">
        <v>366</v>
      </c>
      <c r="B129" s="19" t="s">
        <v>587</v>
      </c>
      <c r="C129" s="19" t="s">
        <v>437</v>
      </c>
      <c r="D129" s="19">
        <v>1959</v>
      </c>
      <c r="E129" s="19">
        <v>5</v>
      </c>
      <c r="F129" s="19">
        <v>4</v>
      </c>
      <c r="G129" s="19">
        <v>5285.7</v>
      </c>
      <c r="H129" s="19">
        <f>3731.6+1135.9</f>
        <v>4867.5</v>
      </c>
      <c r="I129" s="23" t="s">
        <v>364</v>
      </c>
      <c r="J129" s="19" t="s">
        <v>364</v>
      </c>
      <c r="K129" s="19" t="s">
        <v>365</v>
      </c>
      <c r="L129" s="19" t="s">
        <v>366</v>
      </c>
      <c r="M129" s="19"/>
      <c r="N129" s="28">
        <f>ROUND(H129*616.25*1.015,2)</f>
        <v>3044590.83</v>
      </c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>
        <v>805361.2</v>
      </c>
      <c r="AA129" s="28">
        <f>N129+Z129</f>
        <v>3849952.0300000003</v>
      </c>
      <c r="AB129" s="28">
        <f>AA129</f>
        <v>3849952.0300000003</v>
      </c>
      <c r="AC129" s="28"/>
      <c r="AD129" s="28"/>
      <c r="AE129" s="37"/>
      <c r="AF129" s="19">
        <v>2021</v>
      </c>
      <c r="AG129" s="19">
        <v>2022</v>
      </c>
    </row>
    <row r="130" spans="1:33" ht="84.9" customHeight="1" x14ac:dyDescent="0.45">
      <c r="A130" s="19">
        <v>367</v>
      </c>
      <c r="B130" s="19" t="s">
        <v>587</v>
      </c>
      <c r="C130" s="19" t="s">
        <v>439</v>
      </c>
      <c r="D130" s="19">
        <v>1949</v>
      </c>
      <c r="E130" s="19">
        <v>5</v>
      </c>
      <c r="F130" s="19">
        <v>3</v>
      </c>
      <c r="G130" s="39" t="s">
        <v>440</v>
      </c>
      <c r="H130" s="23">
        <v>2960.3</v>
      </c>
      <c r="I130" s="23" t="s">
        <v>364</v>
      </c>
      <c r="J130" s="19" t="s">
        <v>364</v>
      </c>
      <c r="K130" s="19" t="s">
        <v>365</v>
      </c>
      <c r="L130" s="19" t="s">
        <v>366</v>
      </c>
      <c r="M130" s="19"/>
      <c r="N130" s="28"/>
      <c r="O130" s="28"/>
      <c r="P130" s="28"/>
      <c r="Q130" s="28"/>
      <c r="R130" s="28"/>
      <c r="S130" s="28"/>
      <c r="T130" s="28"/>
      <c r="U130" s="28"/>
      <c r="V130" s="28">
        <f>ROUND(3727.29*H130*1.015,2)</f>
        <v>11199405.039999999</v>
      </c>
      <c r="W130" s="28"/>
      <c r="X130" s="28"/>
      <c r="Y130" s="28"/>
      <c r="Z130" s="28">
        <v>559881.46</v>
      </c>
      <c r="AA130" s="28">
        <f>SUM(V130+Z130)</f>
        <v>11759286.5</v>
      </c>
      <c r="AB130" s="41"/>
      <c r="AC130" s="28"/>
      <c r="AD130" s="28">
        <f t="shared" ref="AD130:AD144" si="14">SUM(N130:Z130)</f>
        <v>11759286.5</v>
      </c>
      <c r="AE130" s="37"/>
      <c r="AF130" s="19">
        <v>2020</v>
      </c>
      <c r="AG130" s="19">
        <v>2022</v>
      </c>
    </row>
    <row r="131" spans="1:33" ht="84.9" customHeight="1" x14ac:dyDescent="0.45">
      <c r="A131" s="19">
        <v>368</v>
      </c>
      <c r="B131" s="19" t="s">
        <v>587</v>
      </c>
      <c r="C131" s="20" t="s">
        <v>265</v>
      </c>
      <c r="D131" s="19">
        <v>1980</v>
      </c>
      <c r="E131" s="19">
        <v>9</v>
      </c>
      <c r="F131" s="19">
        <v>2</v>
      </c>
      <c r="G131" s="39">
        <v>3859</v>
      </c>
      <c r="H131" s="23">
        <v>3841.1</v>
      </c>
      <c r="I131" s="23">
        <v>3841.1</v>
      </c>
      <c r="J131" s="19">
        <v>169</v>
      </c>
      <c r="K131" s="19" t="s">
        <v>365</v>
      </c>
      <c r="L131" s="19" t="s">
        <v>366</v>
      </c>
      <c r="M131" s="19"/>
      <c r="N131" s="28"/>
      <c r="O131" s="28"/>
      <c r="P131" s="28"/>
      <c r="Q131" s="28"/>
      <c r="R131" s="28"/>
      <c r="S131" s="28"/>
      <c r="T131" s="28"/>
      <c r="U131" s="31">
        <v>3702831.57</v>
      </c>
      <c r="V131" s="28"/>
      <c r="W131" s="28"/>
      <c r="X131" s="28"/>
      <c r="Y131" s="28"/>
      <c r="Z131" s="31">
        <v>151890.07999999999</v>
      </c>
      <c r="AA131" s="31">
        <f>SUM(U131+Z131)</f>
        <v>3854721.65</v>
      </c>
      <c r="AB131" s="41"/>
      <c r="AC131" s="28"/>
      <c r="AD131" s="31">
        <f>AA131</f>
        <v>3854721.65</v>
      </c>
      <c r="AE131" s="37"/>
      <c r="AF131" s="20">
        <v>2022</v>
      </c>
      <c r="AG131" s="20">
        <v>2022</v>
      </c>
    </row>
    <row r="132" spans="1:33" ht="84.9" customHeight="1" x14ac:dyDescent="0.45">
      <c r="A132" s="19">
        <v>369</v>
      </c>
      <c r="B132" s="19" t="s">
        <v>587</v>
      </c>
      <c r="C132" s="20" t="s">
        <v>266</v>
      </c>
      <c r="D132" s="19">
        <v>1979</v>
      </c>
      <c r="E132" s="19">
        <v>9</v>
      </c>
      <c r="F132" s="19">
        <v>2</v>
      </c>
      <c r="G132" s="23">
        <v>6513.2</v>
      </c>
      <c r="H132" s="23">
        <v>6513.2</v>
      </c>
      <c r="I132" s="23">
        <v>6513.2</v>
      </c>
      <c r="J132" s="19">
        <v>340</v>
      </c>
      <c r="K132" s="19" t="s">
        <v>365</v>
      </c>
      <c r="L132" s="19" t="s">
        <v>366</v>
      </c>
      <c r="M132" s="19"/>
      <c r="N132" s="28"/>
      <c r="O132" s="28"/>
      <c r="P132" s="28"/>
      <c r="Q132" s="28"/>
      <c r="R132" s="28"/>
      <c r="S132" s="28"/>
      <c r="T132" s="28"/>
      <c r="U132" s="31">
        <v>3702831.57</v>
      </c>
      <c r="V132" s="28"/>
      <c r="W132" s="28"/>
      <c r="X132" s="28"/>
      <c r="Y132" s="28"/>
      <c r="Z132" s="31">
        <v>151890.07999999999</v>
      </c>
      <c r="AA132" s="31">
        <f>SUM(U132+Z132)</f>
        <v>3854721.65</v>
      </c>
      <c r="AB132" s="41"/>
      <c r="AC132" s="28"/>
      <c r="AD132" s="31">
        <f>AA132</f>
        <v>3854721.65</v>
      </c>
      <c r="AE132" s="37"/>
      <c r="AF132" s="20">
        <v>2022</v>
      </c>
      <c r="AG132" s="20">
        <v>2022</v>
      </c>
    </row>
    <row r="133" spans="1:33" ht="84.9" customHeight="1" x14ac:dyDescent="0.45">
      <c r="A133" s="19">
        <v>370</v>
      </c>
      <c r="B133" s="19" t="s">
        <v>587</v>
      </c>
      <c r="C133" s="20" t="s">
        <v>267</v>
      </c>
      <c r="D133" s="19">
        <v>1979</v>
      </c>
      <c r="E133" s="19">
        <v>9</v>
      </c>
      <c r="F133" s="19">
        <v>6</v>
      </c>
      <c r="G133" s="23">
        <v>19088.400000000001</v>
      </c>
      <c r="H133" s="23">
        <v>19088.400000000001</v>
      </c>
      <c r="I133" s="23">
        <v>19088.400000000001</v>
      </c>
      <c r="J133" s="19">
        <v>1035</v>
      </c>
      <c r="K133" s="19" t="s">
        <v>365</v>
      </c>
      <c r="L133" s="19" t="s">
        <v>366</v>
      </c>
      <c r="M133" s="19"/>
      <c r="N133" s="28"/>
      <c r="O133" s="28"/>
      <c r="P133" s="28"/>
      <c r="Q133" s="28"/>
      <c r="R133" s="28"/>
      <c r="S133" s="28"/>
      <c r="T133" s="28"/>
      <c r="U133" s="31">
        <v>11108494.710000001</v>
      </c>
      <c r="V133" s="28"/>
      <c r="W133" s="28"/>
      <c r="X133" s="28"/>
      <c r="Y133" s="28"/>
      <c r="Z133" s="31">
        <v>455670.24</v>
      </c>
      <c r="AA133" s="31">
        <f>SUM(U133+Z133)</f>
        <v>11564164.950000001</v>
      </c>
      <c r="AB133" s="41"/>
      <c r="AC133" s="28"/>
      <c r="AD133" s="31">
        <f>AA133</f>
        <v>11564164.950000001</v>
      </c>
      <c r="AE133" s="37"/>
      <c r="AF133" s="20">
        <v>2022</v>
      </c>
      <c r="AG133" s="20">
        <v>2022</v>
      </c>
    </row>
    <row r="134" spans="1:33" ht="84.9" customHeight="1" x14ac:dyDescent="0.45">
      <c r="A134" s="19">
        <v>371</v>
      </c>
      <c r="B134" s="19" t="s">
        <v>587</v>
      </c>
      <c r="C134" s="19" t="s">
        <v>441</v>
      </c>
      <c r="D134" s="19">
        <v>1960</v>
      </c>
      <c r="E134" s="19">
        <v>2</v>
      </c>
      <c r="F134" s="19">
        <v>2</v>
      </c>
      <c r="G134" s="39" t="s">
        <v>443</v>
      </c>
      <c r="H134" s="23">
        <v>525.6</v>
      </c>
      <c r="I134" s="23" t="s">
        <v>364</v>
      </c>
      <c r="J134" s="19" t="s">
        <v>364</v>
      </c>
      <c r="K134" s="19" t="s">
        <v>371</v>
      </c>
      <c r="L134" s="19" t="s">
        <v>366</v>
      </c>
      <c r="M134" s="19"/>
      <c r="N134" s="28"/>
      <c r="O134" s="28"/>
      <c r="P134" s="28"/>
      <c r="Q134" s="28"/>
      <c r="R134" s="28"/>
      <c r="S134" s="28"/>
      <c r="T134" s="28"/>
      <c r="U134" s="28"/>
      <c r="V134" s="28">
        <f>ROUND(8645.31*H134*1.015,2)</f>
        <v>4612134.5599999996</v>
      </c>
      <c r="W134" s="28"/>
      <c r="X134" s="28"/>
      <c r="Y134" s="28"/>
      <c r="Z134" s="28">
        <v>157120.85</v>
      </c>
      <c r="AA134" s="28">
        <f>SUM(V134+Z134)</f>
        <v>4769255.4099999992</v>
      </c>
      <c r="AB134" s="28"/>
      <c r="AC134" s="28"/>
      <c r="AD134" s="28">
        <f t="shared" si="14"/>
        <v>4769255.4099999992</v>
      </c>
      <c r="AE134" s="37"/>
      <c r="AF134" s="19">
        <v>2020</v>
      </c>
      <c r="AG134" s="19">
        <v>2022</v>
      </c>
    </row>
    <row r="135" spans="1:33" ht="84.9" customHeight="1" x14ac:dyDescent="0.45">
      <c r="A135" s="19">
        <v>372</v>
      </c>
      <c r="B135" s="14" t="s">
        <v>587</v>
      </c>
      <c r="C135" s="19" t="s">
        <v>444</v>
      </c>
      <c r="D135" s="19">
        <v>1950</v>
      </c>
      <c r="E135" s="19">
        <v>4</v>
      </c>
      <c r="F135" s="19">
        <v>3</v>
      </c>
      <c r="G135" s="23">
        <v>2576</v>
      </c>
      <c r="H135" s="23">
        <f>1999.8+356.2</f>
        <v>2356</v>
      </c>
      <c r="I135" s="23">
        <v>1416.2</v>
      </c>
      <c r="J135" s="19" t="s">
        <v>364</v>
      </c>
      <c r="K135" s="19" t="s">
        <v>365</v>
      </c>
      <c r="L135" s="19" t="s">
        <v>366</v>
      </c>
      <c r="M135" s="19"/>
      <c r="N135" s="28">
        <f>ROUND(H135*616.25*1.015,2)</f>
        <v>1473663.28</v>
      </c>
      <c r="O135" s="28">
        <f>ROUND(H135*871.5*1.015,2)</f>
        <v>2084052.81</v>
      </c>
      <c r="P135" s="28">
        <f>ROUND(H135*596.38*1.015,2)</f>
        <v>1426147.35</v>
      </c>
      <c r="Q135" s="28">
        <f>ROUND(H135*589.88*1.015,2)</f>
        <v>1410603.64</v>
      </c>
      <c r="R135" s="28"/>
      <c r="S135" s="28">
        <f>ROUND(H135*1074.75*1.015,2)</f>
        <v>2570092.67</v>
      </c>
      <c r="T135" s="28"/>
      <c r="U135" s="28"/>
      <c r="V135" s="28"/>
      <c r="W135" s="28"/>
      <c r="X135" s="28"/>
      <c r="Y135" s="28"/>
      <c r="Z135" s="28">
        <v>557819.36</v>
      </c>
      <c r="AA135" s="28">
        <f>SUM(N135:Z135)</f>
        <v>9522379.1099999994</v>
      </c>
      <c r="AB135" s="28"/>
      <c r="AC135" s="28"/>
      <c r="AD135" s="28">
        <f t="shared" si="14"/>
        <v>9522379.1099999994</v>
      </c>
      <c r="AE135" s="37"/>
      <c r="AF135" s="19">
        <v>2020</v>
      </c>
      <c r="AG135" s="19">
        <v>2022</v>
      </c>
    </row>
    <row r="136" spans="1:33" ht="84.9" customHeight="1" x14ac:dyDescent="0.45">
      <c r="A136" s="19">
        <v>373</v>
      </c>
      <c r="B136" s="14" t="s">
        <v>587</v>
      </c>
      <c r="C136" s="22" t="s">
        <v>281</v>
      </c>
      <c r="D136" s="19">
        <v>1997</v>
      </c>
      <c r="E136" s="19" t="s">
        <v>465</v>
      </c>
      <c r="F136" s="19" t="s">
        <v>466</v>
      </c>
      <c r="G136" s="23">
        <v>8087.1</v>
      </c>
      <c r="H136" s="23">
        <v>8087.1</v>
      </c>
      <c r="I136" s="23">
        <v>8087.1</v>
      </c>
      <c r="J136" s="19">
        <v>216</v>
      </c>
      <c r="K136" s="19" t="s">
        <v>365</v>
      </c>
      <c r="L136" s="19" t="s">
        <v>366</v>
      </c>
      <c r="M136" s="19"/>
      <c r="N136" s="28"/>
      <c r="O136" s="29">
        <v>4754302.4800000004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9">
        <v>248000</v>
      </c>
      <c r="AA136" s="29">
        <f>SUM(O136+Z136)</f>
        <v>5002302.4800000004</v>
      </c>
      <c r="AB136" s="29">
        <f>AA136</f>
        <v>5002302.4800000004</v>
      </c>
      <c r="AC136" s="28"/>
      <c r="AD136" s="28"/>
      <c r="AE136" s="37"/>
      <c r="AF136" s="22">
        <v>2022</v>
      </c>
      <c r="AG136" s="22">
        <v>2022</v>
      </c>
    </row>
    <row r="137" spans="1:33" ht="84.9" customHeight="1" x14ac:dyDescent="0.45">
      <c r="A137" s="19">
        <v>374</v>
      </c>
      <c r="B137" s="14" t="s">
        <v>587</v>
      </c>
      <c r="C137" s="22" t="s">
        <v>282</v>
      </c>
      <c r="D137" s="19">
        <v>1994</v>
      </c>
      <c r="E137" s="19">
        <v>10</v>
      </c>
      <c r="F137" s="19">
        <v>1</v>
      </c>
      <c r="G137" s="23">
        <v>2475.1999999999998</v>
      </c>
      <c r="H137" s="23">
        <v>2457.9</v>
      </c>
      <c r="I137" s="23">
        <v>2457.9</v>
      </c>
      <c r="J137" s="19">
        <v>81</v>
      </c>
      <c r="K137" s="19" t="s">
        <v>365</v>
      </c>
      <c r="L137" s="19" t="s">
        <v>366</v>
      </c>
      <c r="M137" s="19"/>
      <c r="N137" s="28"/>
      <c r="O137" s="29">
        <v>4754302.4800000004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9">
        <v>248000</v>
      </c>
      <c r="AA137" s="29">
        <f>SUM(O137+Z137)</f>
        <v>5002302.4800000004</v>
      </c>
      <c r="AB137" s="29">
        <f>AA137</f>
        <v>5002302.4800000004</v>
      </c>
      <c r="AC137" s="28"/>
      <c r="AD137" s="28"/>
      <c r="AE137" s="37"/>
      <c r="AF137" s="22">
        <v>2022</v>
      </c>
      <c r="AG137" s="22">
        <v>2022</v>
      </c>
    </row>
    <row r="138" spans="1:33" ht="84.9" customHeight="1" x14ac:dyDescent="0.45">
      <c r="A138" s="19">
        <v>375</v>
      </c>
      <c r="B138" s="14" t="s">
        <v>587</v>
      </c>
      <c r="C138" s="22" t="s">
        <v>283</v>
      </c>
      <c r="D138" s="19">
        <v>1995</v>
      </c>
      <c r="E138" s="19">
        <v>10</v>
      </c>
      <c r="F138" s="19">
        <v>1</v>
      </c>
      <c r="G138" s="23">
        <v>2620.1999999999998</v>
      </c>
      <c r="H138" s="23">
        <v>2586</v>
      </c>
      <c r="I138" s="23">
        <v>2586</v>
      </c>
      <c r="J138" s="19">
        <v>109</v>
      </c>
      <c r="K138" s="19" t="s">
        <v>365</v>
      </c>
      <c r="L138" s="19" t="s">
        <v>366</v>
      </c>
      <c r="M138" s="19"/>
      <c r="N138" s="28"/>
      <c r="O138" s="29">
        <v>2377151.2400000002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9">
        <v>124000</v>
      </c>
      <c r="AA138" s="29">
        <f t="shared" ref="AA138" si="15">SUM(O138+Z138)</f>
        <v>2501151.2400000002</v>
      </c>
      <c r="AB138" s="29">
        <v>2501151.2400000002</v>
      </c>
      <c r="AC138" s="28"/>
      <c r="AD138" s="28"/>
      <c r="AE138" s="37"/>
      <c r="AF138" s="22">
        <v>2022</v>
      </c>
      <c r="AG138" s="22">
        <v>2022</v>
      </c>
    </row>
    <row r="139" spans="1:33" ht="84.9" customHeight="1" x14ac:dyDescent="0.45">
      <c r="A139" s="19">
        <v>376</v>
      </c>
      <c r="B139" s="14" t="s">
        <v>587</v>
      </c>
      <c r="C139" s="20" t="s">
        <v>284</v>
      </c>
      <c r="D139" s="19">
        <v>1974</v>
      </c>
      <c r="E139" s="19">
        <v>9</v>
      </c>
      <c r="F139" s="19">
        <v>2</v>
      </c>
      <c r="G139" s="23">
        <v>3884.9</v>
      </c>
      <c r="H139" s="23">
        <v>3884.9</v>
      </c>
      <c r="I139" s="23">
        <v>3884.9</v>
      </c>
      <c r="J139" s="19">
        <v>166</v>
      </c>
      <c r="K139" s="19" t="s">
        <v>365</v>
      </c>
      <c r="L139" s="19" t="s">
        <v>366</v>
      </c>
      <c r="M139" s="19"/>
      <c r="N139" s="28"/>
      <c r="O139" s="28"/>
      <c r="P139" s="28"/>
      <c r="Q139" s="28"/>
      <c r="R139" s="28"/>
      <c r="S139" s="28"/>
      <c r="T139" s="28"/>
      <c r="U139" s="31">
        <v>3702831.57</v>
      </c>
      <c r="V139" s="28"/>
      <c r="W139" s="28"/>
      <c r="X139" s="28"/>
      <c r="Y139" s="28"/>
      <c r="Z139" s="31">
        <v>151890.07999999999</v>
      </c>
      <c r="AA139" s="31">
        <f>SUM(U139+Z139)</f>
        <v>3854721.65</v>
      </c>
      <c r="AB139" s="41"/>
      <c r="AC139" s="28"/>
      <c r="AD139" s="31">
        <f>AA139</f>
        <v>3854721.65</v>
      </c>
      <c r="AE139" s="37"/>
      <c r="AF139" s="20">
        <v>2022</v>
      </c>
      <c r="AG139" s="20">
        <v>2022</v>
      </c>
    </row>
    <row r="140" spans="1:33" ht="84.9" customHeight="1" x14ac:dyDescent="0.45">
      <c r="A140" s="19">
        <v>377</v>
      </c>
      <c r="B140" s="14" t="s">
        <v>587</v>
      </c>
      <c r="C140" s="20" t="s">
        <v>285</v>
      </c>
      <c r="D140" s="19">
        <v>1974</v>
      </c>
      <c r="E140" s="19">
        <v>9</v>
      </c>
      <c r="F140" s="19">
        <v>2</v>
      </c>
      <c r="G140" s="23">
        <v>3857.1</v>
      </c>
      <c r="H140" s="23">
        <v>3857.1</v>
      </c>
      <c r="I140" s="23">
        <v>3857.1</v>
      </c>
      <c r="J140" s="19">
        <v>164</v>
      </c>
      <c r="K140" s="19" t="s">
        <v>365</v>
      </c>
      <c r="L140" s="19" t="s">
        <v>366</v>
      </c>
      <c r="M140" s="19"/>
      <c r="N140" s="28"/>
      <c r="O140" s="28"/>
      <c r="P140" s="28"/>
      <c r="Q140" s="28"/>
      <c r="R140" s="28"/>
      <c r="S140" s="28"/>
      <c r="T140" s="28"/>
      <c r="U140" s="31">
        <v>3702831.57</v>
      </c>
      <c r="V140" s="28"/>
      <c r="W140" s="28"/>
      <c r="X140" s="28"/>
      <c r="Y140" s="28"/>
      <c r="Z140" s="31">
        <v>151890.07999999999</v>
      </c>
      <c r="AA140" s="31">
        <f t="shared" ref="AA140:AA141" si="16">SUM(U140+Z140)</f>
        <v>3854721.65</v>
      </c>
      <c r="AB140" s="41"/>
      <c r="AC140" s="28"/>
      <c r="AD140" s="31">
        <f t="shared" ref="AD140:AD141" si="17">AA140</f>
        <v>3854721.65</v>
      </c>
      <c r="AE140" s="37"/>
      <c r="AF140" s="20">
        <v>2022</v>
      </c>
      <c r="AG140" s="20">
        <v>2022</v>
      </c>
    </row>
    <row r="141" spans="1:33" ht="84.9" customHeight="1" x14ac:dyDescent="0.45">
      <c r="A141" s="19">
        <v>378</v>
      </c>
      <c r="B141" s="14" t="s">
        <v>587</v>
      </c>
      <c r="C141" s="20" t="s">
        <v>286</v>
      </c>
      <c r="D141" s="19">
        <v>1974</v>
      </c>
      <c r="E141" s="19">
        <v>9</v>
      </c>
      <c r="F141" s="19">
        <v>2</v>
      </c>
      <c r="G141" s="23">
        <v>3828.6</v>
      </c>
      <c r="H141" s="23">
        <v>3828.6</v>
      </c>
      <c r="I141" s="23">
        <v>3828.6</v>
      </c>
      <c r="J141" s="19">
        <v>160</v>
      </c>
      <c r="K141" s="19" t="s">
        <v>365</v>
      </c>
      <c r="L141" s="19" t="s">
        <v>366</v>
      </c>
      <c r="M141" s="19"/>
      <c r="N141" s="28"/>
      <c r="O141" s="28"/>
      <c r="P141" s="28"/>
      <c r="Q141" s="28"/>
      <c r="R141" s="28"/>
      <c r="S141" s="28"/>
      <c r="T141" s="28"/>
      <c r="U141" s="31">
        <v>3702831.57</v>
      </c>
      <c r="V141" s="28"/>
      <c r="W141" s="28"/>
      <c r="X141" s="28"/>
      <c r="Y141" s="28"/>
      <c r="Z141" s="31">
        <v>151890.07999999999</v>
      </c>
      <c r="AA141" s="31">
        <f t="shared" si="16"/>
        <v>3854721.65</v>
      </c>
      <c r="AB141" s="41"/>
      <c r="AC141" s="28"/>
      <c r="AD141" s="31">
        <f t="shared" si="17"/>
        <v>3854721.65</v>
      </c>
      <c r="AE141" s="37"/>
      <c r="AF141" s="20">
        <v>2022</v>
      </c>
      <c r="AG141" s="20">
        <v>2022</v>
      </c>
    </row>
    <row r="142" spans="1:33" ht="84.9" customHeight="1" x14ac:dyDescent="0.45">
      <c r="A142" s="19">
        <v>379</v>
      </c>
      <c r="B142" s="19" t="s">
        <v>587</v>
      </c>
      <c r="C142" s="19" t="s">
        <v>467</v>
      </c>
      <c r="D142" s="19">
        <v>1954</v>
      </c>
      <c r="E142" s="19">
        <v>5</v>
      </c>
      <c r="F142" s="19">
        <v>4</v>
      </c>
      <c r="G142" s="39" t="s">
        <v>468</v>
      </c>
      <c r="H142" s="23">
        <v>2284.9</v>
      </c>
      <c r="I142" s="23" t="s">
        <v>364</v>
      </c>
      <c r="J142" s="19" t="s">
        <v>364</v>
      </c>
      <c r="K142" s="19" t="s">
        <v>365</v>
      </c>
      <c r="L142" s="19" t="s">
        <v>366</v>
      </c>
      <c r="M142" s="19"/>
      <c r="N142" s="28"/>
      <c r="O142" s="28"/>
      <c r="P142" s="28"/>
      <c r="Q142" s="28"/>
      <c r="R142" s="28"/>
      <c r="S142" s="28"/>
      <c r="T142" s="28"/>
      <c r="U142" s="28"/>
      <c r="V142" s="28">
        <f>ROUND(3727.29*H142*1.015,2)</f>
        <v>8644232.1899999995</v>
      </c>
      <c r="W142" s="28"/>
      <c r="X142" s="28"/>
      <c r="Y142" s="28"/>
      <c r="Z142" s="28">
        <v>506206.99</v>
      </c>
      <c r="AA142" s="28">
        <f>SUM(N142:Z142)</f>
        <v>9150439.1799999997</v>
      </c>
      <c r="AB142" s="28"/>
      <c r="AC142" s="28"/>
      <c r="AD142" s="28">
        <f t="shared" si="14"/>
        <v>9150439.1799999997</v>
      </c>
      <c r="AE142" s="37"/>
      <c r="AF142" s="19">
        <v>2020</v>
      </c>
      <c r="AG142" s="19">
        <v>2022</v>
      </c>
    </row>
    <row r="143" spans="1:33" ht="84.9" customHeight="1" x14ac:dyDescent="0.45">
      <c r="A143" s="19">
        <v>380</v>
      </c>
      <c r="B143" s="14" t="s">
        <v>587</v>
      </c>
      <c r="C143" s="19" t="s">
        <v>469</v>
      </c>
      <c r="D143" s="19">
        <v>1949</v>
      </c>
      <c r="E143" s="19">
        <v>2</v>
      </c>
      <c r="F143" s="19">
        <v>2</v>
      </c>
      <c r="G143" s="39">
        <v>1021.7</v>
      </c>
      <c r="H143" s="23">
        <v>930.4</v>
      </c>
      <c r="I143" s="23">
        <v>1021.7</v>
      </c>
      <c r="J143" s="19">
        <v>14</v>
      </c>
      <c r="K143" s="19" t="s">
        <v>365</v>
      </c>
      <c r="L143" s="19" t="s">
        <v>366</v>
      </c>
      <c r="M143" s="19"/>
      <c r="N143" s="28">
        <v>581959.39</v>
      </c>
      <c r="O143" s="28">
        <f>ROUND(H143*2933.55*1.015,2)</f>
        <v>2770315.54</v>
      </c>
      <c r="P143" s="28">
        <v>565282.06000000006</v>
      </c>
      <c r="Q143" s="28">
        <v>622651.68999999994</v>
      </c>
      <c r="R143" s="19"/>
      <c r="S143" s="28">
        <v>959257.94</v>
      </c>
      <c r="T143" s="28"/>
      <c r="U143" s="28"/>
      <c r="V143" s="28">
        <v>8164250.3700000001</v>
      </c>
      <c r="W143" s="28"/>
      <c r="X143" s="28"/>
      <c r="Y143" s="28"/>
      <c r="Z143" s="28">
        <v>1373652.8</v>
      </c>
      <c r="AA143" s="28">
        <f>SUM(N143+O143+P143+Q143+S143+V143+Z143)</f>
        <v>15037369.789999999</v>
      </c>
      <c r="AB143" s="28"/>
      <c r="AC143" s="28"/>
      <c r="AD143" s="28">
        <f t="shared" si="14"/>
        <v>15037369.789999999</v>
      </c>
      <c r="AE143" s="37"/>
      <c r="AF143" s="19" t="s">
        <v>470</v>
      </c>
      <c r="AG143" s="19" t="s">
        <v>471</v>
      </c>
    </row>
    <row r="144" spans="1:33" ht="84.9" customHeight="1" x14ac:dyDescent="0.45">
      <c r="A144" s="19">
        <v>381</v>
      </c>
      <c r="B144" s="14" t="s">
        <v>587</v>
      </c>
      <c r="C144" s="19" t="s">
        <v>472</v>
      </c>
      <c r="D144" s="19">
        <v>1957</v>
      </c>
      <c r="E144" s="19">
        <v>4</v>
      </c>
      <c r="F144" s="19">
        <v>3</v>
      </c>
      <c r="G144" s="23">
        <v>2566.1999999999998</v>
      </c>
      <c r="H144" s="23">
        <v>1741.8</v>
      </c>
      <c r="I144" s="23" t="s">
        <v>364</v>
      </c>
      <c r="J144" s="19" t="s">
        <v>364</v>
      </c>
      <c r="K144" s="19" t="s">
        <v>365</v>
      </c>
      <c r="L144" s="19" t="s">
        <v>366</v>
      </c>
      <c r="M144" s="19"/>
      <c r="N144" s="28"/>
      <c r="O144" s="28"/>
      <c r="P144" s="28"/>
      <c r="Q144" s="28"/>
      <c r="R144" s="28"/>
      <c r="S144" s="28"/>
      <c r="T144" s="28"/>
      <c r="U144" s="28"/>
      <c r="V144" s="28">
        <f>ROUND(4075.29*H144*1.015,2)</f>
        <v>7204815.2199999997</v>
      </c>
      <c r="W144" s="28"/>
      <c r="X144" s="28"/>
      <c r="Y144" s="28"/>
      <c r="Z144" s="28">
        <v>368408.7</v>
      </c>
      <c r="AA144" s="28">
        <f>SUM(V144+Z144)</f>
        <v>7573223.9199999999</v>
      </c>
      <c r="AB144" s="28"/>
      <c r="AC144" s="28"/>
      <c r="AD144" s="28">
        <f t="shared" si="14"/>
        <v>7573223.9199999999</v>
      </c>
      <c r="AE144" s="37"/>
      <c r="AF144" s="19">
        <v>2020</v>
      </c>
      <c r="AG144" s="19">
        <v>2022</v>
      </c>
    </row>
    <row r="145" spans="1:33" ht="84.9" customHeight="1" x14ac:dyDescent="0.45">
      <c r="A145" s="19">
        <v>382</v>
      </c>
      <c r="B145" s="14" t="s">
        <v>587</v>
      </c>
      <c r="C145" s="19" t="s">
        <v>474</v>
      </c>
      <c r="D145" s="19">
        <v>1958</v>
      </c>
      <c r="E145" s="19">
        <v>3</v>
      </c>
      <c r="F145" s="19">
        <v>1</v>
      </c>
      <c r="G145" s="23">
        <v>615.70000000000005</v>
      </c>
      <c r="H145" s="23">
        <v>615.70000000000005</v>
      </c>
      <c r="I145" s="23">
        <v>405</v>
      </c>
      <c r="J145" s="19">
        <v>25</v>
      </c>
      <c r="K145" s="19" t="s">
        <v>365</v>
      </c>
      <c r="L145" s="19" t="s">
        <v>366</v>
      </c>
      <c r="M145" s="19"/>
      <c r="N145" s="28"/>
      <c r="O145" s="28"/>
      <c r="P145" s="28"/>
      <c r="Q145" s="28"/>
      <c r="R145" s="28"/>
      <c r="S145" s="28"/>
      <c r="T145" s="28"/>
      <c r="U145" s="28"/>
      <c r="V145" s="28">
        <f>ROUND(H145*5222.75*1.015,2)</f>
        <v>3263881.88</v>
      </c>
      <c r="W145" s="28"/>
      <c r="X145" s="28"/>
      <c r="Y145" s="28"/>
      <c r="Z145" s="28">
        <v>192938.83</v>
      </c>
      <c r="AA145" s="28">
        <f>SUM(V145+Z145)</f>
        <v>3456820.71</v>
      </c>
      <c r="AB145" s="28"/>
      <c r="AC145" s="28"/>
      <c r="AD145" s="28">
        <f>SUM(V145+Z145)</f>
        <v>3456820.71</v>
      </c>
      <c r="AE145" s="37"/>
      <c r="AF145" s="19">
        <v>2022</v>
      </c>
      <c r="AG145" s="19">
        <v>2022</v>
      </c>
    </row>
    <row r="146" spans="1:33" ht="84.9" customHeight="1" x14ac:dyDescent="0.45">
      <c r="A146" s="19">
        <v>383</v>
      </c>
      <c r="B146" s="14" t="s">
        <v>587</v>
      </c>
      <c r="C146" s="19" t="s">
        <v>475</v>
      </c>
      <c r="D146" s="19">
        <v>1962</v>
      </c>
      <c r="E146" s="19">
        <v>5</v>
      </c>
      <c r="F146" s="19">
        <v>4</v>
      </c>
      <c r="G146" s="39" t="s">
        <v>477</v>
      </c>
      <c r="H146" s="23">
        <v>2559.9</v>
      </c>
      <c r="I146" s="23" t="s">
        <v>364</v>
      </c>
      <c r="J146" s="19" t="s">
        <v>364</v>
      </c>
      <c r="K146" s="19" t="s">
        <v>365</v>
      </c>
      <c r="L146" s="19" t="s">
        <v>366</v>
      </c>
      <c r="M146" s="19"/>
      <c r="N146" s="28"/>
      <c r="O146" s="28"/>
      <c r="P146" s="28"/>
      <c r="Q146" s="28"/>
      <c r="R146" s="28"/>
      <c r="S146" s="28"/>
      <c r="T146" s="28"/>
      <c r="U146" s="28"/>
      <c r="V146" s="28">
        <f>ROUND(3727.29*H146*1.015,2)</f>
        <v>9684612.0199999996</v>
      </c>
      <c r="W146" s="28"/>
      <c r="X146" s="28"/>
      <c r="Y146" s="28"/>
      <c r="Z146" s="28">
        <v>503531.44</v>
      </c>
      <c r="AA146" s="28">
        <f>SUM(V146+Z146)</f>
        <v>10188143.459999999</v>
      </c>
      <c r="AB146" s="28"/>
      <c r="AC146" s="28"/>
      <c r="AD146" s="28">
        <f>SUM(N146:Z146)</f>
        <v>10188143.459999999</v>
      </c>
      <c r="AE146" s="37"/>
      <c r="AF146" s="19">
        <v>2020</v>
      </c>
      <c r="AG146" s="19">
        <v>2022</v>
      </c>
    </row>
    <row r="147" spans="1:33" ht="84.9" customHeight="1" x14ac:dyDescent="0.45">
      <c r="A147" s="19">
        <v>384</v>
      </c>
      <c r="B147" s="19" t="s">
        <v>587</v>
      </c>
      <c r="C147" s="19" t="s">
        <v>478</v>
      </c>
      <c r="D147" s="19">
        <v>1972</v>
      </c>
      <c r="E147" s="19">
        <v>5</v>
      </c>
      <c r="F147" s="19">
        <v>5</v>
      </c>
      <c r="G147" s="23">
        <v>5181.1000000000004</v>
      </c>
      <c r="H147" s="23">
        <f>3957.5+750.7</f>
        <v>4708.2</v>
      </c>
      <c r="I147" s="43">
        <v>3957.5</v>
      </c>
      <c r="J147" s="19">
        <v>162</v>
      </c>
      <c r="K147" s="19" t="s">
        <v>365</v>
      </c>
      <c r="L147" s="19" t="s">
        <v>366</v>
      </c>
      <c r="M147" s="19"/>
      <c r="N147" s="28"/>
      <c r="O147" s="28"/>
      <c r="P147" s="28"/>
      <c r="Q147" s="28"/>
      <c r="R147" s="28"/>
      <c r="S147" s="28"/>
      <c r="T147" s="28"/>
      <c r="U147" s="28"/>
      <c r="V147" s="28"/>
      <c r="W147" s="28">
        <f>763.97*H147*1.015</f>
        <v>3650877.4073099997</v>
      </c>
      <c r="X147" s="28">
        <f>3170.13*H147*1.015</f>
        <v>15149490.156989997</v>
      </c>
      <c r="Y147" s="28">
        <f>1135.41*H147*1.015</f>
        <v>5425923.4224299993</v>
      </c>
      <c r="Z147" s="28">
        <v>635639.35</v>
      </c>
      <c r="AA147" s="28">
        <f>SUM(N147:Z147)</f>
        <v>24861930.336729996</v>
      </c>
      <c r="AB147" s="28"/>
      <c r="AC147" s="28"/>
      <c r="AD147" s="28">
        <f>SUM(N147:Z147)</f>
        <v>24861930.336729996</v>
      </c>
      <c r="AE147" s="37"/>
      <c r="AF147" s="19">
        <v>2020</v>
      </c>
      <c r="AG147" s="19">
        <v>2022</v>
      </c>
    </row>
    <row r="148" spans="1:33" ht="84.9" customHeight="1" x14ac:dyDescent="0.45">
      <c r="A148" s="19">
        <v>385</v>
      </c>
      <c r="B148" s="19" t="s">
        <v>587</v>
      </c>
      <c r="C148" s="19" t="s">
        <v>479</v>
      </c>
      <c r="D148" s="19">
        <v>1971</v>
      </c>
      <c r="E148" s="19">
        <v>5</v>
      </c>
      <c r="F148" s="19">
        <v>7</v>
      </c>
      <c r="G148" s="23">
        <v>7077.6</v>
      </c>
      <c r="H148" s="23">
        <f>5514.6+938.3</f>
        <v>6452.9000000000005</v>
      </c>
      <c r="I148" s="43">
        <v>5514.6</v>
      </c>
      <c r="J148" s="19">
        <v>238</v>
      </c>
      <c r="K148" s="19" t="s">
        <v>365</v>
      </c>
      <c r="L148" s="19" t="s">
        <v>366</v>
      </c>
      <c r="M148" s="19"/>
      <c r="N148" s="28"/>
      <c r="O148" s="28"/>
      <c r="P148" s="28"/>
      <c r="Q148" s="28"/>
      <c r="R148" s="28"/>
      <c r="S148" s="28"/>
      <c r="T148" s="28"/>
      <c r="U148" s="28"/>
      <c r="V148" s="28">
        <f>ROUND(H148*3517.3*1.015,2)</f>
        <v>23037236.949999999</v>
      </c>
      <c r="W148" s="28">
        <f>ROUND(H148*763.97*1.015,2)</f>
        <v>5003769.34</v>
      </c>
      <c r="X148" s="28">
        <f>ROUND(H148*3170.13*1.015,2)</f>
        <v>20763379.859999999</v>
      </c>
      <c r="Y148" s="28">
        <f>ROUND(H148*1135.41*1.015,2)</f>
        <v>7436587.5</v>
      </c>
      <c r="Z148" s="28">
        <f>1361807.11+701067.64</f>
        <v>2062874.75</v>
      </c>
      <c r="AA148" s="28">
        <f>SUM(V148+W148+X148+Y148+Z148)</f>
        <v>58303848.399999999</v>
      </c>
      <c r="AB148" s="28"/>
      <c r="AC148" s="28"/>
      <c r="AD148" s="28">
        <f>SUM(V148+W148+X148+Y148+Z148)</f>
        <v>58303848.399999999</v>
      </c>
      <c r="AE148" s="37"/>
      <c r="AF148" s="19" t="s">
        <v>481</v>
      </c>
      <c r="AG148" s="19" t="s">
        <v>482</v>
      </c>
    </row>
    <row r="149" spans="1:33" ht="84.9" customHeight="1" x14ac:dyDescent="0.45">
      <c r="A149" s="19">
        <v>386</v>
      </c>
      <c r="B149" s="19" t="s">
        <v>587</v>
      </c>
      <c r="C149" s="22" t="s">
        <v>287</v>
      </c>
      <c r="D149" s="19">
        <v>1963</v>
      </c>
      <c r="E149" s="19">
        <v>6</v>
      </c>
      <c r="F149" s="19">
        <v>3</v>
      </c>
      <c r="G149" s="23">
        <v>2786</v>
      </c>
      <c r="H149" s="23">
        <v>2589.5</v>
      </c>
      <c r="I149" s="43">
        <v>2543.5</v>
      </c>
      <c r="J149" s="19">
        <v>103</v>
      </c>
      <c r="K149" s="19" t="s">
        <v>365</v>
      </c>
      <c r="L149" s="19" t="s">
        <v>366</v>
      </c>
      <c r="M149" s="19"/>
      <c r="N149" s="28"/>
      <c r="O149" s="29">
        <v>2377151.2400000002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9">
        <v>124000</v>
      </c>
      <c r="AA149" s="29">
        <f t="shared" ref="AA149" si="18">SUM(O149+Z149)</f>
        <v>2501151.2400000002</v>
      </c>
      <c r="AB149" s="29">
        <v>2501151.2400000002</v>
      </c>
      <c r="AC149" s="28"/>
      <c r="AD149" s="28"/>
      <c r="AE149" s="37"/>
      <c r="AF149" s="22">
        <v>2022</v>
      </c>
      <c r="AG149" s="22">
        <v>2022</v>
      </c>
    </row>
    <row r="150" spans="1:33" ht="84.9" customHeight="1" x14ac:dyDescent="0.45">
      <c r="A150" s="19">
        <v>387</v>
      </c>
      <c r="B150" s="14" t="s">
        <v>587</v>
      </c>
      <c r="C150" s="19" t="s">
        <v>484</v>
      </c>
      <c r="D150" s="19">
        <v>1937</v>
      </c>
      <c r="E150" s="19">
        <v>3</v>
      </c>
      <c r="F150" s="19">
        <v>4</v>
      </c>
      <c r="G150" s="23" t="s">
        <v>485</v>
      </c>
      <c r="H150" s="23">
        <v>2249.3000000000002</v>
      </c>
      <c r="I150" s="23" t="s">
        <v>364</v>
      </c>
      <c r="J150" s="19" t="s">
        <v>364</v>
      </c>
      <c r="K150" s="19" t="s">
        <v>371</v>
      </c>
      <c r="L150" s="19" t="s">
        <v>366</v>
      </c>
      <c r="M150" s="19"/>
      <c r="N150" s="28"/>
      <c r="O150" s="28"/>
      <c r="P150" s="28"/>
      <c r="Q150" s="28"/>
      <c r="R150" s="28"/>
      <c r="S150" s="28"/>
      <c r="T150" s="28"/>
      <c r="U150" s="28"/>
      <c r="V150" s="28">
        <f>ROUND(5975.33*H150*1.015,2)</f>
        <v>13641914.42</v>
      </c>
      <c r="W150" s="28"/>
      <c r="X150" s="28"/>
      <c r="Y150" s="28"/>
      <c r="Z150" s="28">
        <v>329793.06</v>
      </c>
      <c r="AA150" s="28">
        <f>SUM(V150+Z150)</f>
        <v>13971707.48</v>
      </c>
      <c r="AB150" s="28"/>
      <c r="AC150" s="28"/>
      <c r="AD150" s="28">
        <f>SUM(N150:Z150)</f>
        <v>13971707.48</v>
      </c>
      <c r="AE150" s="37"/>
      <c r="AF150" s="19">
        <v>2020</v>
      </c>
      <c r="AG150" s="19">
        <v>2022</v>
      </c>
    </row>
    <row r="151" spans="1:33" ht="84.9" customHeight="1" x14ac:dyDescent="0.45">
      <c r="A151" s="19">
        <v>388</v>
      </c>
      <c r="B151" s="14" t="s">
        <v>587</v>
      </c>
      <c r="C151" s="19" t="s">
        <v>486</v>
      </c>
      <c r="D151" s="19">
        <v>1952</v>
      </c>
      <c r="E151" s="19">
        <v>2</v>
      </c>
      <c r="F151" s="19">
        <v>2</v>
      </c>
      <c r="G151" s="23">
        <v>924.8</v>
      </c>
      <c r="H151" s="23">
        <v>608.1</v>
      </c>
      <c r="I151" s="23" t="s">
        <v>364</v>
      </c>
      <c r="J151" s="19" t="s">
        <v>364</v>
      </c>
      <c r="K151" s="19" t="s">
        <v>371</v>
      </c>
      <c r="L151" s="19" t="s">
        <v>366</v>
      </c>
      <c r="M151" s="19"/>
      <c r="N151" s="28"/>
      <c r="O151" s="28"/>
      <c r="P151" s="28"/>
      <c r="Q151" s="28"/>
      <c r="R151" s="28"/>
      <c r="S151" s="28"/>
      <c r="T151" s="28"/>
      <c r="U151" s="28"/>
      <c r="V151" s="28">
        <f>ROUND(8645.31*H151*1.015,2)</f>
        <v>5336071.21</v>
      </c>
      <c r="W151" s="28"/>
      <c r="X151" s="28"/>
      <c r="Y151" s="28"/>
      <c r="Z151" s="28">
        <v>74705</v>
      </c>
      <c r="AA151" s="28">
        <f>SUM(V151+Z151)</f>
        <v>5410776.21</v>
      </c>
      <c r="AB151" s="28"/>
      <c r="AC151" s="28"/>
      <c r="AD151" s="28">
        <f>SUM(N151:Z151)</f>
        <v>5410776.21</v>
      </c>
      <c r="AE151" s="37"/>
      <c r="AF151" s="19">
        <v>2020</v>
      </c>
      <c r="AG151" s="19">
        <v>2022</v>
      </c>
    </row>
    <row r="152" spans="1:33" ht="84.9" customHeight="1" x14ac:dyDescent="0.45">
      <c r="A152" s="19">
        <v>389</v>
      </c>
      <c r="B152" s="14" t="s">
        <v>587</v>
      </c>
      <c r="C152" s="19" t="s">
        <v>487</v>
      </c>
      <c r="D152" s="19">
        <v>1960</v>
      </c>
      <c r="E152" s="19">
        <v>4</v>
      </c>
      <c r="F152" s="19">
        <v>2</v>
      </c>
      <c r="G152" s="23" t="s">
        <v>488</v>
      </c>
      <c r="H152" s="23">
        <f>1281.1+342.4</f>
        <v>1623.5</v>
      </c>
      <c r="I152" s="23" t="s">
        <v>364</v>
      </c>
      <c r="J152" s="19" t="s">
        <v>364</v>
      </c>
      <c r="K152" s="19" t="s">
        <v>371</v>
      </c>
      <c r="L152" s="19" t="s">
        <v>366</v>
      </c>
      <c r="M152" s="19"/>
      <c r="N152" s="28"/>
      <c r="O152" s="28"/>
      <c r="P152" s="28"/>
      <c r="Q152" s="28"/>
      <c r="R152" s="28"/>
      <c r="S152" s="28"/>
      <c r="T152" s="28"/>
      <c r="U152" s="28"/>
      <c r="V152" s="28">
        <f>ROUND(5975.33*H152*1.015,2)</f>
        <v>9846462.4800000004</v>
      </c>
      <c r="W152" s="28"/>
      <c r="X152" s="28"/>
      <c r="Y152" s="28"/>
      <c r="Z152" s="28">
        <v>321553.62</v>
      </c>
      <c r="AA152" s="28">
        <f>SUM(V152+Z152)</f>
        <v>10168016.1</v>
      </c>
      <c r="AB152" s="28"/>
      <c r="AC152" s="28"/>
      <c r="AD152" s="28">
        <f>SUM(N152:Z152)</f>
        <v>10168016.1</v>
      </c>
      <c r="AE152" s="37"/>
      <c r="AF152" s="19">
        <v>2020</v>
      </c>
      <c r="AG152" s="19">
        <v>2022</v>
      </c>
    </row>
    <row r="153" spans="1:33" ht="84.9" customHeight="1" x14ac:dyDescent="0.45">
      <c r="A153" s="19">
        <v>390</v>
      </c>
      <c r="B153" s="14" t="s">
        <v>587</v>
      </c>
      <c r="C153" s="19" t="s">
        <v>489</v>
      </c>
      <c r="D153" s="19">
        <v>1963</v>
      </c>
      <c r="E153" s="19">
        <v>5</v>
      </c>
      <c r="F153" s="19">
        <v>2</v>
      </c>
      <c r="G153" s="23">
        <v>2774</v>
      </c>
      <c r="H153" s="23">
        <v>1867.9</v>
      </c>
      <c r="I153" s="23">
        <v>1703.7</v>
      </c>
      <c r="J153" s="19">
        <v>101</v>
      </c>
      <c r="K153" s="19" t="s">
        <v>365</v>
      </c>
      <c r="L153" s="19" t="s">
        <v>366</v>
      </c>
      <c r="M153" s="19"/>
      <c r="N153" s="28"/>
      <c r="O153" s="28"/>
      <c r="P153" s="28"/>
      <c r="Q153" s="28"/>
      <c r="R153" s="28"/>
      <c r="S153" s="28"/>
      <c r="T153" s="28"/>
      <c r="U153" s="28"/>
      <c r="V153" s="28">
        <v>6857764.7199999997</v>
      </c>
      <c r="W153" s="28"/>
      <c r="X153" s="28"/>
      <c r="Y153" s="28"/>
      <c r="Z153" s="28">
        <v>405385.11</v>
      </c>
      <c r="AA153" s="28">
        <f>SUM(V153+Z153)</f>
        <v>7263149.8300000001</v>
      </c>
      <c r="AB153" s="28"/>
      <c r="AC153" s="28"/>
      <c r="AD153" s="28">
        <f>SUM(V153+Z153)</f>
        <v>7263149.8300000001</v>
      </c>
      <c r="AE153" s="37"/>
      <c r="AF153" s="19">
        <v>2022</v>
      </c>
      <c r="AG153" s="19">
        <v>2022</v>
      </c>
    </row>
    <row r="154" spans="1:33" ht="84.9" customHeight="1" x14ac:dyDescent="0.45">
      <c r="A154" s="19">
        <v>391</v>
      </c>
      <c r="B154" s="14" t="s">
        <v>587</v>
      </c>
      <c r="C154" s="20" t="s">
        <v>288</v>
      </c>
      <c r="D154" s="19">
        <v>1978</v>
      </c>
      <c r="E154" s="19">
        <v>9</v>
      </c>
      <c r="F154" s="19">
        <v>2</v>
      </c>
      <c r="G154" s="23">
        <v>4212</v>
      </c>
      <c r="H154" s="23">
        <v>4202.7</v>
      </c>
      <c r="I154" s="23">
        <v>4202.7</v>
      </c>
      <c r="J154" s="19">
        <v>180</v>
      </c>
      <c r="K154" s="19" t="s">
        <v>365</v>
      </c>
      <c r="L154" s="19" t="s">
        <v>366</v>
      </c>
      <c r="M154" s="19"/>
      <c r="N154" s="28"/>
      <c r="O154" s="28"/>
      <c r="P154" s="28"/>
      <c r="Q154" s="28"/>
      <c r="R154" s="28"/>
      <c r="S154" s="28"/>
      <c r="T154" s="28"/>
      <c r="U154" s="31">
        <v>3702831.57</v>
      </c>
      <c r="V154" s="28"/>
      <c r="W154" s="28"/>
      <c r="X154" s="28"/>
      <c r="Y154" s="28"/>
      <c r="Z154" s="31">
        <v>151890.07999999999</v>
      </c>
      <c r="AA154" s="31">
        <f>SUM(U154+Z154)</f>
        <v>3854721.65</v>
      </c>
      <c r="AB154" s="41"/>
      <c r="AC154" s="28"/>
      <c r="AD154" s="31">
        <f>AA154</f>
        <v>3854721.65</v>
      </c>
      <c r="AE154" s="37"/>
      <c r="AF154" s="20">
        <v>2022</v>
      </c>
      <c r="AG154" s="20">
        <v>2022</v>
      </c>
    </row>
    <row r="155" spans="1:33" ht="84.9" customHeight="1" x14ac:dyDescent="0.45">
      <c r="A155" s="19">
        <v>392</v>
      </c>
      <c r="B155" s="14" t="s">
        <v>587</v>
      </c>
      <c r="C155" s="20" t="s">
        <v>289</v>
      </c>
      <c r="D155" s="19">
        <v>1977</v>
      </c>
      <c r="E155" s="19">
        <v>9</v>
      </c>
      <c r="F155" s="19">
        <v>1</v>
      </c>
      <c r="G155" s="23">
        <v>6695.5</v>
      </c>
      <c r="H155" s="23">
        <v>6695.5</v>
      </c>
      <c r="I155" s="23">
        <v>6695.5</v>
      </c>
      <c r="J155" s="19">
        <v>200</v>
      </c>
      <c r="K155" s="19" t="s">
        <v>365</v>
      </c>
      <c r="L155" s="19" t="s">
        <v>366</v>
      </c>
      <c r="M155" s="19"/>
      <c r="N155" s="28"/>
      <c r="O155" s="28"/>
      <c r="P155" s="28"/>
      <c r="Q155" s="28"/>
      <c r="R155" s="28"/>
      <c r="S155" s="28"/>
      <c r="T155" s="28"/>
      <c r="U155" s="31">
        <v>1851415.78</v>
      </c>
      <c r="V155" s="28"/>
      <c r="W155" s="28"/>
      <c r="X155" s="28"/>
      <c r="Y155" s="28"/>
      <c r="Z155" s="31">
        <v>75945.039999999994</v>
      </c>
      <c r="AA155" s="31">
        <f>SUM(U155+Z155)</f>
        <v>1927360.82</v>
      </c>
      <c r="AB155" s="41"/>
      <c r="AC155" s="28"/>
      <c r="AD155" s="31">
        <f>AA155</f>
        <v>1927360.82</v>
      </c>
      <c r="AE155" s="37"/>
      <c r="AF155" s="20">
        <v>2022</v>
      </c>
      <c r="AG155" s="20">
        <v>2022</v>
      </c>
    </row>
    <row r="156" spans="1:33" ht="84.9" customHeight="1" x14ac:dyDescent="0.45">
      <c r="A156" s="19">
        <v>393</v>
      </c>
      <c r="B156" s="14" t="s">
        <v>587</v>
      </c>
      <c r="C156" s="20" t="s">
        <v>290</v>
      </c>
      <c r="D156" s="19">
        <v>1977</v>
      </c>
      <c r="E156" s="19">
        <v>9</v>
      </c>
      <c r="F156" s="19">
        <v>2</v>
      </c>
      <c r="G156" s="23">
        <v>4117.3</v>
      </c>
      <c r="H156" s="23">
        <v>4117.3</v>
      </c>
      <c r="I156" s="23">
        <v>4117.3</v>
      </c>
      <c r="J156" s="19">
        <v>166</v>
      </c>
      <c r="K156" s="19" t="s">
        <v>365</v>
      </c>
      <c r="L156" s="19" t="s">
        <v>366</v>
      </c>
      <c r="M156" s="19"/>
      <c r="N156" s="28"/>
      <c r="O156" s="28"/>
      <c r="P156" s="28"/>
      <c r="Q156" s="28"/>
      <c r="R156" s="28"/>
      <c r="S156" s="28"/>
      <c r="T156" s="28"/>
      <c r="U156" s="31">
        <v>3702831.57</v>
      </c>
      <c r="V156" s="28"/>
      <c r="W156" s="28"/>
      <c r="X156" s="28"/>
      <c r="Y156" s="28"/>
      <c r="Z156" s="31">
        <v>151890.07999999999</v>
      </c>
      <c r="AA156" s="31">
        <f>SUM(U156+Z156)</f>
        <v>3854721.65</v>
      </c>
      <c r="AB156" s="41"/>
      <c r="AC156" s="28"/>
      <c r="AD156" s="31">
        <f>AA156</f>
        <v>3854721.65</v>
      </c>
      <c r="AE156" s="37"/>
      <c r="AF156" s="20">
        <v>2022</v>
      </c>
      <c r="AG156" s="20">
        <v>2022</v>
      </c>
    </row>
    <row r="157" spans="1:33" ht="84.9" customHeight="1" x14ac:dyDescent="0.45">
      <c r="A157" s="19">
        <v>394</v>
      </c>
      <c r="B157" s="19" t="s">
        <v>587</v>
      </c>
      <c r="C157" s="19" t="s">
        <v>490</v>
      </c>
      <c r="D157" s="19">
        <v>1989</v>
      </c>
      <c r="E157" s="19">
        <v>10</v>
      </c>
      <c r="F157" s="19">
        <v>2</v>
      </c>
      <c r="G157" s="23">
        <v>5939.3</v>
      </c>
      <c r="H157" s="23">
        <v>5889.1</v>
      </c>
      <c r="I157" s="23" t="s">
        <v>364</v>
      </c>
      <c r="J157" s="19" t="s">
        <v>364</v>
      </c>
      <c r="K157" s="19" t="s">
        <v>493</v>
      </c>
      <c r="L157" s="19" t="s">
        <v>425</v>
      </c>
      <c r="M157" s="19"/>
      <c r="N157" s="28"/>
      <c r="O157" s="28"/>
      <c r="P157" s="28"/>
      <c r="Q157" s="28"/>
      <c r="R157" s="28"/>
      <c r="S157" s="28"/>
      <c r="T157" s="28"/>
      <c r="U157" s="28"/>
      <c r="V157" s="28"/>
      <c r="W157" s="28">
        <f>635.48*H157*1.015</f>
        <v>3798541.3470199998</v>
      </c>
      <c r="X157" s="28"/>
      <c r="Y157" s="28"/>
      <c r="Z157" s="28">
        <v>411596.45</v>
      </c>
      <c r="AA157" s="28">
        <f>SUM(W157+Z157)</f>
        <v>4210137.7970199995</v>
      </c>
      <c r="AB157" s="28"/>
      <c r="AC157" s="28"/>
      <c r="AD157" s="28">
        <f>SUM(N157:Z157)</f>
        <v>4210137.7970199995</v>
      </c>
      <c r="AE157" s="37"/>
      <c r="AF157" s="19">
        <v>2020</v>
      </c>
      <c r="AG157" s="19">
        <v>2022</v>
      </c>
    </row>
    <row r="158" spans="1:33" ht="84.9" customHeight="1" x14ac:dyDescent="0.45">
      <c r="A158" s="19">
        <v>395</v>
      </c>
      <c r="B158" s="19" t="s">
        <v>587</v>
      </c>
      <c r="C158" s="19" t="s">
        <v>494</v>
      </c>
      <c r="D158" s="19">
        <v>1954</v>
      </c>
      <c r="E158" s="19">
        <v>6</v>
      </c>
      <c r="F158" s="19">
        <v>9</v>
      </c>
      <c r="G158" s="23">
        <v>10494.1</v>
      </c>
      <c r="H158" s="23">
        <v>10494.1</v>
      </c>
      <c r="I158" s="19">
        <v>2587.6</v>
      </c>
      <c r="J158" s="19">
        <v>85</v>
      </c>
      <c r="K158" s="15" t="s">
        <v>365</v>
      </c>
      <c r="L158" s="19" t="s">
        <v>366</v>
      </c>
      <c r="M158" s="19"/>
      <c r="N158" s="28"/>
      <c r="O158" s="28"/>
      <c r="P158" s="28"/>
      <c r="Q158" s="28"/>
      <c r="R158" s="28"/>
      <c r="S158" s="28"/>
      <c r="T158" s="28"/>
      <c r="U158" s="28"/>
      <c r="V158" s="28">
        <f>ROUND(H158*3855.19*1.015,2)</f>
        <v>41063600.619999997</v>
      </c>
      <c r="W158" s="28"/>
      <c r="X158" s="28"/>
      <c r="Y158" s="28"/>
      <c r="Z158" s="28">
        <v>2427404.96</v>
      </c>
      <c r="AA158" s="28">
        <f>SUM(V158+Z158)</f>
        <v>43491005.579999998</v>
      </c>
      <c r="AB158" s="28"/>
      <c r="AC158" s="30"/>
      <c r="AD158" s="28">
        <f>AA158</f>
        <v>43491005.579999998</v>
      </c>
      <c r="AE158" s="37"/>
      <c r="AF158" s="19">
        <v>2022</v>
      </c>
      <c r="AG158" s="19">
        <v>2023</v>
      </c>
    </row>
    <row r="159" spans="1:33" ht="84.9" customHeight="1" x14ac:dyDescent="0.45">
      <c r="A159" s="19">
        <v>396</v>
      </c>
      <c r="B159" s="14" t="s">
        <v>587</v>
      </c>
      <c r="C159" s="19" t="s">
        <v>501</v>
      </c>
      <c r="D159" s="19">
        <v>1976</v>
      </c>
      <c r="E159" s="19">
        <v>5</v>
      </c>
      <c r="F159" s="19">
        <v>2</v>
      </c>
      <c r="G159" s="23">
        <v>3867.2</v>
      </c>
      <c r="H159" s="23">
        <v>3212.4</v>
      </c>
      <c r="I159" s="23" t="s">
        <v>364</v>
      </c>
      <c r="J159" s="19" t="s">
        <v>364</v>
      </c>
      <c r="K159" s="15" t="s">
        <v>365</v>
      </c>
      <c r="L159" s="19" t="s">
        <v>366</v>
      </c>
      <c r="M159" s="19"/>
      <c r="N159" s="28"/>
      <c r="O159" s="28"/>
      <c r="P159" s="28"/>
      <c r="Q159" s="28"/>
      <c r="R159" s="28">
        <v>1215410.51</v>
      </c>
      <c r="S159" s="28"/>
      <c r="T159" s="28"/>
      <c r="U159" s="28"/>
      <c r="V159" s="28">
        <f>ROUND(3727.29*H159*1.015,2)</f>
        <v>12153149.59</v>
      </c>
      <c r="W159" s="28"/>
      <c r="X159" s="28"/>
      <c r="Y159" s="28"/>
      <c r="Z159" s="28">
        <v>531157.51</v>
      </c>
      <c r="AA159" s="28">
        <f>SUM(R159+V159+Z159)</f>
        <v>13899717.609999999</v>
      </c>
      <c r="AB159" s="28"/>
      <c r="AC159" s="28"/>
      <c r="AD159" s="28">
        <f>SUM(R159+V159+Z159)</f>
        <v>13899717.609999999</v>
      </c>
      <c r="AE159" s="37"/>
      <c r="AF159" s="19" t="s">
        <v>503</v>
      </c>
      <c r="AG159" s="19" t="s">
        <v>470</v>
      </c>
    </row>
    <row r="160" spans="1:33" ht="84.9" customHeight="1" x14ac:dyDescent="0.45">
      <c r="A160" s="19">
        <v>397</v>
      </c>
      <c r="B160" s="14" t="s">
        <v>587</v>
      </c>
      <c r="C160" s="22" t="s">
        <v>291</v>
      </c>
      <c r="D160" s="19">
        <v>1986</v>
      </c>
      <c r="E160" s="19">
        <v>10</v>
      </c>
      <c r="F160" s="19">
        <v>5</v>
      </c>
      <c r="G160" s="23">
        <v>12414</v>
      </c>
      <c r="H160" s="23">
        <v>13610.5</v>
      </c>
      <c r="I160" s="23">
        <v>13457.1</v>
      </c>
      <c r="J160" s="19">
        <v>505</v>
      </c>
      <c r="K160" s="15" t="s">
        <v>365</v>
      </c>
      <c r="L160" s="19" t="s">
        <v>366</v>
      </c>
      <c r="M160" s="19"/>
      <c r="N160" s="28"/>
      <c r="O160" s="29">
        <v>9508604.9600000009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9">
        <v>496000</v>
      </c>
      <c r="AA160" s="29">
        <f>SUM(O160+Z160)</f>
        <v>10004604.960000001</v>
      </c>
      <c r="AB160" s="29">
        <f>AA160</f>
        <v>10004604.960000001</v>
      </c>
      <c r="AC160" s="28"/>
      <c r="AD160" s="28"/>
      <c r="AE160" s="37"/>
      <c r="AF160" s="22">
        <v>2022</v>
      </c>
      <c r="AG160" s="22">
        <v>2022</v>
      </c>
    </row>
    <row r="161" spans="1:33" ht="84.9" customHeight="1" x14ac:dyDescent="0.45">
      <c r="A161" s="19">
        <v>398</v>
      </c>
      <c r="B161" s="14" t="s">
        <v>587</v>
      </c>
      <c r="C161" s="22" t="s">
        <v>292</v>
      </c>
      <c r="D161" s="19">
        <v>1993</v>
      </c>
      <c r="E161" s="19">
        <v>10</v>
      </c>
      <c r="F161" s="19">
        <v>4</v>
      </c>
      <c r="G161" s="23">
        <v>10449.1</v>
      </c>
      <c r="H161" s="23">
        <v>10704.4</v>
      </c>
      <c r="I161" s="23">
        <v>10639.1</v>
      </c>
      <c r="J161" s="19">
        <v>406</v>
      </c>
      <c r="K161" s="15" t="s">
        <v>365</v>
      </c>
      <c r="L161" s="19" t="s">
        <v>425</v>
      </c>
      <c r="M161" s="19"/>
      <c r="N161" s="28"/>
      <c r="O161" s="29">
        <v>7131453.7199999997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9">
        <v>372000</v>
      </c>
      <c r="AA161" s="29">
        <f>SUM(O161+Z161)</f>
        <v>7503453.7199999997</v>
      </c>
      <c r="AB161" s="29">
        <f>AA161</f>
        <v>7503453.7199999997</v>
      </c>
      <c r="AC161" s="28"/>
      <c r="AD161" s="28"/>
      <c r="AE161" s="37"/>
      <c r="AF161" s="22">
        <v>2022</v>
      </c>
      <c r="AG161" s="22">
        <v>2022</v>
      </c>
    </row>
    <row r="162" spans="1:33" ht="84.9" customHeight="1" x14ac:dyDescent="0.45">
      <c r="A162" s="19">
        <v>399</v>
      </c>
      <c r="B162" s="14" t="s">
        <v>587</v>
      </c>
      <c r="C162" s="22" t="s">
        <v>293</v>
      </c>
      <c r="D162" s="19">
        <v>1993</v>
      </c>
      <c r="E162" s="19">
        <v>10</v>
      </c>
      <c r="F162" s="19">
        <v>4</v>
      </c>
      <c r="G162" s="23">
        <v>10722.8</v>
      </c>
      <c r="H162" s="23">
        <v>10765.8</v>
      </c>
      <c r="I162" s="23">
        <v>10643.4</v>
      </c>
      <c r="J162" s="19">
        <v>440</v>
      </c>
      <c r="K162" s="15" t="s">
        <v>365</v>
      </c>
      <c r="L162" s="19" t="s">
        <v>366</v>
      </c>
      <c r="M162" s="19"/>
      <c r="N162" s="28"/>
      <c r="O162" s="29">
        <v>7131453.7199999997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9">
        <v>372000</v>
      </c>
      <c r="AA162" s="29">
        <f>SUM(O162+Z162)</f>
        <v>7503453.7199999997</v>
      </c>
      <c r="AB162" s="29">
        <f>AA162</f>
        <v>7503453.7199999997</v>
      </c>
      <c r="AC162" s="28"/>
      <c r="AD162" s="28"/>
      <c r="AE162" s="37"/>
      <c r="AF162" s="22">
        <v>2022</v>
      </c>
      <c r="AG162" s="22">
        <v>2022</v>
      </c>
    </row>
    <row r="163" spans="1:33" ht="84.9" customHeight="1" x14ac:dyDescent="0.45">
      <c r="A163" s="19">
        <v>400</v>
      </c>
      <c r="B163" s="14" t="s">
        <v>587</v>
      </c>
      <c r="C163" s="19" t="s">
        <v>505</v>
      </c>
      <c r="D163" s="19">
        <v>1970</v>
      </c>
      <c r="E163" s="19">
        <v>5</v>
      </c>
      <c r="F163" s="19">
        <v>8</v>
      </c>
      <c r="G163" s="23">
        <v>6607.5</v>
      </c>
      <c r="H163" s="23">
        <v>6019.7</v>
      </c>
      <c r="I163" s="23" t="s">
        <v>364</v>
      </c>
      <c r="J163" s="19" t="s">
        <v>364</v>
      </c>
      <c r="K163" s="15" t="s">
        <v>365</v>
      </c>
      <c r="L163" s="19" t="s">
        <v>366</v>
      </c>
      <c r="M163" s="19"/>
      <c r="N163" s="28"/>
      <c r="O163" s="28"/>
      <c r="P163" s="28"/>
      <c r="Q163" s="28"/>
      <c r="R163" s="28"/>
      <c r="S163" s="28"/>
      <c r="T163" s="28"/>
      <c r="U163" s="28"/>
      <c r="V163" s="28">
        <v>15914460.880000001</v>
      </c>
      <c r="W163" s="28"/>
      <c r="X163" s="28">
        <v>6730160.04</v>
      </c>
      <c r="Y163" s="28"/>
      <c r="Z163" s="28">
        <v>318289.21999999997</v>
      </c>
      <c r="AA163" s="28">
        <f>SUM(V163+X163+Z163)</f>
        <v>22962910.140000001</v>
      </c>
      <c r="AB163" s="28"/>
      <c r="AC163" s="28"/>
      <c r="AD163" s="28">
        <v>22962910.140000001</v>
      </c>
      <c r="AE163" s="37"/>
      <c r="AF163" s="19">
        <v>2020</v>
      </c>
      <c r="AG163" s="19">
        <v>2022</v>
      </c>
    </row>
    <row r="164" spans="1:33" ht="84.9" customHeight="1" x14ac:dyDescent="0.45">
      <c r="A164" s="19">
        <v>401</v>
      </c>
      <c r="B164" s="14" t="s">
        <v>587</v>
      </c>
      <c r="C164" s="19" t="s">
        <v>506</v>
      </c>
      <c r="D164" s="19">
        <v>1963</v>
      </c>
      <c r="E164" s="19">
        <v>5</v>
      </c>
      <c r="F164" s="19">
        <v>3</v>
      </c>
      <c r="G164" s="23">
        <v>3563.7</v>
      </c>
      <c r="H164" s="23">
        <v>3533.2</v>
      </c>
      <c r="I164" s="23">
        <v>3535.9</v>
      </c>
      <c r="J164" s="19">
        <v>196</v>
      </c>
      <c r="K164" s="15" t="s">
        <v>365</v>
      </c>
      <c r="L164" s="19" t="s">
        <v>366</v>
      </c>
      <c r="M164" s="19"/>
      <c r="N164" s="28">
        <f>ROUND(H164*616.25*1.015,2)</f>
        <v>2209994.52</v>
      </c>
      <c r="O164" s="28">
        <f>ROUND(H164*3349.66*1.015,2)</f>
        <v>12012543.99</v>
      </c>
      <c r="P164" s="28">
        <f>ROUND(H164*650.2*1.015,2)</f>
        <v>2331745.94</v>
      </c>
      <c r="Q164" s="28">
        <f>ROUND(H164*643.1*1.015,2)</f>
        <v>2306283.9300000002</v>
      </c>
      <c r="R164" s="28"/>
      <c r="S164" s="28">
        <f>ROUND(H164*644.55*1.015,2)</f>
        <v>2311483.92</v>
      </c>
      <c r="T164" s="28"/>
      <c r="U164" s="28"/>
      <c r="V164" s="28">
        <f>ROUND(H164*3517.3*1.015,2)</f>
        <v>12613734.23</v>
      </c>
      <c r="W164" s="28"/>
      <c r="X164" s="28"/>
      <c r="Y164" s="28"/>
      <c r="Z164" s="28">
        <v>1393012.7</v>
      </c>
      <c r="AA164" s="28">
        <f>SUM(N164+O164+P164+Q164+S164+V164+Z164)</f>
        <v>35178799.230000004</v>
      </c>
      <c r="AB164" s="28"/>
      <c r="AC164" s="28"/>
      <c r="AD164" s="28">
        <f>SUM(N164+O164+P164+Q164+S164+V164+Z164)</f>
        <v>35178799.230000004</v>
      </c>
      <c r="AE164" s="37"/>
      <c r="AF164" s="19" t="s">
        <v>507</v>
      </c>
      <c r="AG164" s="19" t="s">
        <v>471</v>
      </c>
    </row>
    <row r="165" spans="1:33" ht="84.9" customHeight="1" x14ac:dyDescent="0.45">
      <c r="A165" s="19">
        <v>402</v>
      </c>
      <c r="B165" s="19" t="s">
        <v>587</v>
      </c>
      <c r="C165" s="19" t="s">
        <v>508</v>
      </c>
      <c r="D165" s="19">
        <v>1962</v>
      </c>
      <c r="E165" s="19">
        <v>5</v>
      </c>
      <c r="F165" s="19">
        <v>3</v>
      </c>
      <c r="G165" s="23">
        <v>2565.1</v>
      </c>
      <c r="H165" s="23">
        <v>2532.8000000000002</v>
      </c>
      <c r="I165" s="23" t="s">
        <v>364</v>
      </c>
      <c r="J165" s="19" t="s">
        <v>364</v>
      </c>
      <c r="K165" s="15" t="s">
        <v>365</v>
      </c>
      <c r="L165" s="19" t="s">
        <v>366</v>
      </c>
      <c r="M165" s="19"/>
      <c r="N165" s="28"/>
      <c r="O165" s="28"/>
      <c r="P165" s="28"/>
      <c r="Q165" s="28"/>
      <c r="R165" s="28"/>
      <c r="S165" s="28"/>
      <c r="T165" s="28"/>
      <c r="U165" s="28"/>
      <c r="V165" s="28">
        <f>ROUND(3727.29*H165*1.015,2)</f>
        <v>9582087.3100000005</v>
      </c>
      <c r="W165" s="28"/>
      <c r="X165" s="28"/>
      <c r="Y165" s="28"/>
      <c r="Z165" s="28">
        <v>315469.21000000002</v>
      </c>
      <c r="AA165" s="28">
        <f>SUM(V165+Z165)</f>
        <v>9897556.5200000014</v>
      </c>
      <c r="AB165" s="28"/>
      <c r="AC165" s="28"/>
      <c r="AD165" s="28">
        <f>SUM(N165:Z165)</f>
        <v>9897556.5200000014</v>
      </c>
      <c r="AE165" s="37"/>
      <c r="AF165" s="19">
        <v>2020</v>
      </c>
      <c r="AG165" s="19">
        <v>2022</v>
      </c>
    </row>
    <row r="166" spans="1:33" ht="84.9" customHeight="1" x14ac:dyDescent="0.45">
      <c r="A166" s="19">
        <v>403</v>
      </c>
      <c r="B166" s="19" t="s">
        <v>587</v>
      </c>
      <c r="C166" s="22" t="s">
        <v>294</v>
      </c>
      <c r="D166" s="19">
        <v>1981</v>
      </c>
      <c r="E166" s="19">
        <v>9</v>
      </c>
      <c r="F166" s="19">
        <v>1</v>
      </c>
      <c r="G166" s="23">
        <v>2851.3</v>
      </c>
      <c r="H166" s="23">
        <v>2632.3</v>
      </c>
      <c r="I166" s="23">
        <v>2632.3</v>
      </c>
      <c r="J166" s="19">
        <v>104</v>
      </c>
      <c r="K166" s="15" t="s">
        <v>423</v>
      </c>
      <c r="L166" s="19" t="s">
        <v>366</v>
      </c>
      <c r="M166" s="19"/>
      <c r="N166" s="28"/>
      <c r="O166" s="29">
        <v>2377151.2400000002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9">
        <v>124000</v>
      </c>
      <c r="AA166" s="29">
        <f t="shared" ref="AA166:AA167" si="19">SUM(O166+Z166)</f>
        <v>2501151.2400000002</v>
      </c>
      <c r="AB166" s="29">
        <v>2501151.2400000002</v>
      </c>
      <c r="AC166" s="28"/>
      <c r="AD166" s="28"/>
      <c r="AE166" s="37"/>
      <c r="AF166" s="22">
        <v>2022</v>
      </c>
      <c r="AG166" s="22">
        <v>2022</v>
      </c>
    </row>
    <row r="167" spans="1:33" ht="84.9" customHeight="1" x14ac:dyDescent="0.45">
      <c r="A167" s="19">
        <v>404</v>
      </c>
      <c r="B167" s="19" t="s">
        <v>587</v>
      </c>
      <c r="C167" s="22" t="s">
        <v>295</v>
      </c>
      <c r="D167" s="19">
        <v>1981</v>
      </c>
      <c r="E167" s="19">
        <v>9</v>
      </c>
      <c r="F167" s="19">
        <v>4</v>
      </c>
      <c r="G167" s="23">
        <v>11792.6</v>
      </c>
      <c r="H167" s="23">
        <v>11474.3</v>
      </c>
      <c r="I167" s="23">
        <v>10921.1</v>
      </c>
      <c r="J167" s="19">
        <v>512</v>
      </c>
      <c r="K167" s="15" t="s">
        <v>365</v>
      </c>
      <c r="L167" s="19" t="s">
        <v>366</v>
      </c>
      <c r="M167" s="19"/>
      <c r="N167" s="28"/>
      <c r="O167" s="29">
        <v>4754302.4800000004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9">
        <v>248000</v>
      </c>
      <c r="AA167" s="29">
        <f t="shared" si="19"/>
        <v>5002302.4800000004</v>
      </c>
      <c r="AB167" s="29">
        <f>AA167</f>
        <v>5002302.4800000004</v>
      </c>
      <c r="AC167" s="28"/>
      <c r="AD167" s="28"/>
      <c r="AE167" s="37"/>
      <c r="AF167" s="22">
        <v>2022</v>
      </c>
      <c r="AG167" s="22">
        <v>2022</v>
      </c>
    </row>
    <row r="168" spans="1:33" ht="84.9" customHeight="1" x14ac:dyDescent="0.45">
      <c r="A168" s="19">
        <v>405</v>
      </c>
      <c r="B168" s="19" t="s">
        <v>587</v>
      </c>
      <c r="C168" s="22" t="s">
        <v>296</v>
      </c>
      <c r="D168" s="19">
        <v>1982</v>
      </c>
      <c r="E168" s="19">
        <v>9</v>
      </c>
      <c r="F168" s="19">
        <v>1</v>
      </c>
      <c r="G168" s="23">
        <v>2856.9</v>
      </c>
      <c r="H168" s="23">
        <v>2635.1</v>
      </c>
      <c r="I168" s="23">
        <v>2635.1</v>
      </c>
      <c r="J168" s="19">
        <v>112</v>
      </c>
      <c r="K168" s="15" t="s">
        <v>365</v>
      </c>
      <c r="L168" s="19" t="s">
        <v>366</v>
      </c>
      <c r="M168" s="19"/>
      <c r="N168" s="28"/>
      <c r="O168" s="29">
        <v>2377151.2400000002</v>
      </c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9">
        <v>124000</v>
      </c>
      <c r="AA168" s="29">
        <f t="shared" ref="AA168:AA170" si="20">SUM(O168+Z168)</f>
        <v>2501151.2400000002</v>
      </c>
      <c r="AB168" s="29">
        <v>2501151.2400000002</v>
      </c>
      <c r="AC168" s="28"/>
      <c r="AD168" s="28"/>
      <c r="AE168" s="37"/>
      <c r="AF168" s="22">
        <v>2022</v>
      </c>
      <c r="AG168" s="22">
        <v>2022</v>
      </c>
    </row>
    <row r="169" spans="1:33" ht="84.9" customHeight="1" x14ac:dyDescent="0.45">
      <c r="A169" s="19">
        <v>406</v>
      </c>
      <c r="B169" s="19" t="s">
        <v>587</v>
      </c>
      <c r="C169" s="22" t="s">
        <v>297</v>
      </c>
      <c r="D169" s="19">
        <v>1982</v>
      </c>
      <c r="E169" s="19">
        <v>9</v>
      </c>
      <c r="F169" s="19">
        <v>1</v>
      </c>
      <c r="G169" s="23">
        <v>1769.9</v>
      </c>
      <c r="H169" s="23">
        <v>1223.5999999999999</v>
      </c>
      <c r="I169" s="23">
        <v>1223.5999999999999</v>
      </c>
      <c r="J169" s="19">
        <v>57</v>
      </c>
      <c r="K169" s="15" t="s">
        <v>365</v>
      </c>
      <c r="L169" s="19" t="s">
        <v>366</v>
      </c>
      <c r="M169" s="19"/>
      <c r="N169" s="28"/>
      <c r="O169" s="29">
        <v>2377151.2400000002</v>
      </c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9">
        <v>124000</v>
      </c>
      <c r="AA169" s="29">
        <f t="shared" si="20"/>
        <v>2501151.2400000002</v>
      </c>
      <c r="AB169" s="29">
        <v>2501151.2400000002</v>
      </c>
      <c r="AC169" s="28"/>
      <c r="AD169" s="28"/>
      <c r="AE169" s="37"/>
      <c r="AF169" s="22">
        <v>2022</v>
      </c>
      <c r="AG169" s="22">
        <v>2022</v>
      </c>
    </row>
    <row r="170" spans="1:33" ht="84.9" customHeight="1" x14ac:dyDescent="0.45">
      <c r="A170" s="19">
        <v>407</v>
      </c>
      <c r="B170" s="19" t="s">
        <v>587</v>
      </c>
      <c r="C170" s="22" t="s">
        <v>298</v>
      </c>
      <c r="D170" s="19">
        <v>1981</v>
      </c>
      <c r="E170" s="19">
        <v>9</v>
      </c>
      <c r="F170" s="19">
        <v>2</v>
      </c>
      <c r="G170" s="23">
        <v>3877.8</v>
      </c>
      <c r="H170" s="23">
        <v>3830.8</v>
      </c>
      <c r="I170" s="23">
        <v>3830.8</v>
      </c>
      <c r="J170" s="19">
        <v>192</v>
      </c>
      <c r="K170" s="15" t="s">
        <v>365</v>
      </c>
      <c r="L170" s="19" t="s">
        <v>366</v>
      </c>
      <c r="M170" s="19"/>
      <c r="N170" s="28"/>
      <c r="O170" s="29">
        <v>2377151.2400000002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9">
        <v>124000</v>
      </c>
      <c r="AA170" s="29">
        <f t="shared" si="20"/>
        <v>2501151.2400000002</v>
      </c>
      <c r="AB170" s="29">
        <v>2501151.2400000002</v>
      </c>
      <c r="AC170" s="28"/>
      <c r="AD170" s="28"/>
      <c r="AE170" s="37"/>
      <c r="AF170" s="22">
        <v>2022</v>
      </c>
      <c r="AG170" s="22">
        <v>2022</v>
      </c>
    </row>
    <row r="171" spans="1:33" ht="84.9" customHeight="1" x14ac:dyDescent="0.45">
      <c r="A171" s="19">
        <v>408</v>
      </c>
      <c r="B171" s="19" t="s">
        <v>587</v>
      </c>
      <c r="C171" s="19" t="s">
        <v>510</v>
      </c>
      <c r="D171" s="19">
        <v>1965</v>
      </c>
      <c r="E171" s="19">
        <v>5</v>
      </c>
      <c r="F171" s="19">
        <v>2</v>
      </c>
      <c r="G171" s="23">
        <v>1614.1</v>
      </c>
      <c r="H171" s="23">
        <v>1481.6</v>
      </c>
      <c r="I171" s="23">
        <v>1481.8</v>
      </c>
      <c r="J171" s="19">
        <v>71</v>
      </c>
      <c r="K171" s="15" t="s">
        <v>365</v>
      </c>
      <c r="L171" s="19" t="s">
        <v>366</v>
      </c>
      <c r="M171" s="19"/>
      <c r="N171" s="28"/>
      <c r="O171" s="28"/>
      <c r="P171" s="28"/>
      <c r="Q171" s="28"/>
      <c r="R171" s="28"/>
      <c r="S171" s="28"/>
      <c r="T171" s="28"/>
      <c r="U171" s="28"/>
      <c r="V171" s="28">
        <f>ROUND(H171*3617.12*1.015,2)</f>
        <v>5439511.8700000001</v>
      </c>
      <c r="W171" s="28"/>
      <c r="X171" s="28"/>
      <c r="Y171" s="28"/>
      <c r="Z171" s="28">
        <v>626259.69999999995</v>
      </c>
      <c r="AA171" s="28">
        <f>SUM(V171+Z171)</f>
        <v>6065771.5700000003</v>
      </c>
      <c r="AB171" s="28"/>
      <c r="AC171" s="28"/>
      <c r="AD171" s="28">
        <f>SUM(V171+Z171)</f>
        <v>6065771.5700000003</v>
      </c>
      <c r="AE171" s="37"/>
      <c r="AF171" s="19">
        <v>2022</v>
      </c>
      <c r="AG171" s="19">
        <v>2022</v>
      </c>
    </row>
    <row r="172" spans="1:33" ht="84.9" customHeight="1" x14ac:dyDescent="0.45">
      <c r="A172" s="19">
        <v>409</v>
      </c>
      <c r="B172" s="22" t="s">
        <v>587</v>
      </c>
      <c r="C172" s="20" t="s">
        <v>299</v>
      </c>
      <c r="D172" s="19">
        <v>1977</v>
      </c>
      <c r="E172" s="19">
        <v>9</v>
      </c>
      <c r="F172" s="19">
        <v>2</v>
      </c>
      <c r="G172" s="23">
        <v>3501</v>
      </c>
      <c r="H172" s="23">
        <v>3500.7</v>
      </c>
      <c r="I172" s="23">
        <v>3500.7</v>
      </c>
      <c r="J172" s="19">
        <v>159</v>
      </c>
      <c r="K172" s="15" t="s">
        <v>365</v>
      </c>
      <c r="L172" s="19" t="s">
        <v>366</v>
      </c>
      <c r="M172" s="19"/>
      <c r="N172" s="28"/>
      <c r="O172" s="29">
        <v>4754302.4800000004</v>
      </c>
      <c r="P172" s="28"/>
      <c r="Q172" s="28"/>
      <c r="R172" s="28"/>
      <c r="S172" s="28"/>
      <c r="T172" s="28"/>
      <c r="U172" s="31">
        <v>3702831.57</v>
      </c>
      <c r="V172" s="28"/>
      <c r="W172" s="28"/>
      <c r="X172" s="28"/>
      <c r="Y172" s="28"/>
      <c r="Z172" s="31">
        <v>399890.08</v>
      </c>
      <c r="AA172" s="31">
        <f>SUM(O172:Z172)</f>
        <v>8857024.1300000008</v>
      </c>
      <c r="AB172" s="29">
        <v>5002302.4800000004</v>
      </c>
      <c r="AC172" s="28"/>
      <c r="AD172" s="31">
        <v>3854721.65</v>
      </c>
      <c r="AE172" s="37"/>
      <c r="AF172" s="20">
        <v>2022</v>
      </c>
      <c r="AG172" s="20">
        <v>2022</v>
      </c>
    </row>
    <row r="173" spans="1:33" ht="84.9" customHeight="1" x14ac:dyDescent="0.45">
      <c r="A173" s="19">
        <v>410</v>
      </c>
      <c r="B173" s="22" t="s">
        <v>587</v>
      </c>
      <c r="C173" s="20" t="s">
        <v>300</v>
      </c>
      <c r="D173" s="19">
        <v>1977</v>
      </c>
      <c r="E173" s="19">
        <v>9</v>
      </c>
      <c r="F173" s="19">
        <v>2</v>
      </c>
      <c r="G173" s="23">
        <v>3483</v>
      </c>
      <c r="H173" s="23">
        <v>3482.5</v>
      </c>
      <c r="I173" s="23">
        <v>3482.5</v>
      </c>
      <c r="J173" s="19">
        <v>150</v>
      </c>
      <c r="K173" s="15" t="s">
        <v>365</v>
      </c>
      <c r="L173" s="19" t="s">
        <v>366</v>
      </c>
      <c r="M173" s="19"/>
      <c r="N173" s="28"/>
      <c r="O173" s="29">
        <v>4754302.4800000004</v>
      </c>
      <c r="P173" s="28"/>
      <c r="Q173" s="28"/>
      <c r="R173" s="28"/>
      <c r="S173" s="28"/>
      <c r="T173" s="28"/>
      <c r="U173" s="31">
        <v>3702831.57</v>
      </c>
      <c r="V173" s="28"/>
      <c r="W173" s="28"/>
      <c r="X173" s="28"/>
      <c r="Y173" s="28"/>
      <c r="Z173" s="31">
        <v>399890.08</v>
      </c>
      <c r="AA173" s="31">
        <f t="shared" ref="AA173:AA177" si="21">SUM(O173:Z173)</f>
        <v>8857024.1300000008</v>
      </c>
      <c r="AB173" s="29">
        <v>5002302.4800000004</v>
      </c>
      <c r="AC173" s="28"/>
      <c r="AD173" s="31">
        <v>3854721.65</v>
      </c>
      <c r="AE173" s="37"/>
      <c r="AF173" s="20">
        <v>2022</v>
      </c>
      <c r="AG173" s="20">
        <v>2022</v>
      </c>
    </row>
    <row r="174" spans="1:33" ht="84.9" customHeight="1" x14ac:dyDescent="0.45">
      <c r="A174" s="19">
        <v>411</v>
      </c>
      <c r="B174" s="22" t="s">
        <v>587</v>
      </c>
      <c r="C174" s="20" t="s">
        <v>301</v>
      </c>
      <c r="D174" s="19">
        <v>1977</v>
      </c>
      <c r="E174" s="19">
        <v>9</v>
      </c>
      <c r="F174" s="19">
        <v>2</v>
      </c>
      <c r="G174" s="23">
        <v>3466</v>
      </c>
      <c r="H174" s="23">
        <v>3465.9</v>
      </c>
      <c r="I174" s="23">
        <v>3465.9</v>
      </c>
      <c r="J174" s="19">
        <v>160</v>
      </c>
      <c r="K174" s="15" t="s">
        <v>365</v>
      </c>
      <c r="L174" s="19" t="s">
        <v>366</v>
      </c>
      <c r="M174" s="19"/>
      <c r="N174" s="28"/>
      <c r="O174" s="29">
        <v>4754302.4800000004</v>
      </c>
      <c r="P174" s="28"/>
      <c r="Q174" s="28"/>
      <c r="R174" s="28"/>
      <c r="S174" s="28"/>
      <c r="T174" s="28"/>
      <c r="U174" s="31">
        <v>3702831.57</v>
      </c>
      <c r="V174" s="28"/>
      <c r="W174" s="28"/>
      <c r="X174" s="28"/>
      <c r="Y174" s="28"/>
      <c r="Z174" s="31">
        <v>399890.08</v>
      </c>
      <c r="AA174" s="31">
        <f t="shared" si="21"/>
        <v>8857024.1300000008</v>
      </c>
      <c r="AB174" s="29">
        <v>5002302.4800000004</v>
      </c>
      <c r="AC174" s="28"/>
      <c r="AD174" s="31">
        <v>3854721.65</v>
      </c>
      <c r="AE174" s="37"/>
      <c r="AF174" s="20">
        <v>2022</v>
      </c>
      <c r="AG174" s="20">
        <v>2022</v>
      </c>
    </row>
    <row r="175" spans="1:33" ht="84.9" customHeight="1" x14ac:dyDescent="0.45">
      <c r="A175" s="19">
        <v>412</v>
      </c>
      <c r="B175" s="22" t="s">
        <v>587</v>
      </c>
      <c r="C175" s="20" t="s">
        <v>302</v>
      </c>
      <c r="D175" s="19">
        <v>1977</v>
      </c>
      <c r="E175" s="19">
        <v>9</v>
      </c>
      <c r="F175" s="19">
        <v>3</v>
      </c>
      <c r="G175" s="23">
        <v>5240.3</v>
      </c>
      <c r="H175" s="23">
        <v>5240.3</v>
      </c>
      <c r="I175" s="23">
        <v>5240.3</v>
      </c>
      <c r="J175" s="19">
        <v>246</v>
      </c>
      <c r="K175" s="15" t="s">
        <v>365</v>
      </c>
      <c r="L175" s="19" t="s">
        <v>366</v>
      </c>
      <c r="M175" s="19"/>
      <c r="N175" s="28"/>
      <c r="O175" s="29">
        <v>7131453.7199999997</v>
      </c>
      <c r="P175" s="28"/>
      <c r="Q175" s="28"/>
      <c r="R175" s="28"/>
      <c r="S175" s="28"/>
      <c r="T175" s="28"/>
      <c r="U175" s="31">
        <v>5554247.3499999996</v>
      </c>
      <c r="V175" s="28"/>
      <c r="W175" s="28"/>
      <c r="X175" s="28"/>
      <c r="Y175" s="28"/>
      <c r="Z175" s="31">
        <v>599835.12</v>
      </c>
      <c r="AA175" s="31">
        <f t="shared" si="21"/>
        <v>13285536.189999999</v>
      </c>
      <c r="AB175" s="29">
        <v>7503453.7199999997</v>
      </c>
      <c r="AC175" s="28"/>
      <c r="AD175" s="31">
        <v>5782082.4699999997</v>
      </c>
      <c r="AE175" s="37"/>
      <c r="AF175" s="20">
        <v>2022</v>
      </c>
      <c r="AG175" s="20">
        <v>2022</v>
      </c>
    </row>
    <row r="176" spans="1:33" ht="84.9" customHeight="1" x14ac:dyDescent="0.45">
      <c r="A176" s="19">
        <v>413</v>
      </c>
      <c r="B176" s="22" t="s">
        <v>587</v>
      </c>
      <c r="C176" s="20" t="s">
        <v>303</v>
      </c>
      <c r="D176" s="19">
        <v>1978</v>
      </c>
      <c r="E176" s="19">
        <v>9</v>
      </c>
      <c r="F176" s="19">
        <v>5</v>
      </c>
      <c r="G176" s="23">
        <v>8780.2999999999993</v>
      </c>
      <c r="H176" s="23">
        <v>8780.2999999999993</v>
      </c>
      <c r="I176" s="23">
        <v>8780.2999999999993</v>
      </c>
      <c r="J176" s="19">
        <v>412</v>
      </c>
      <c r="K176" s="15"/>
      <c r="L176" s="19" t="s">
        <v>366</v>
      </c>
      <c r="M176" s="19"/>
      <c r="N176" s="28"/>
      <c r="O176" s="29">
        <v>11885756.199999999</v>
      </c>
      <c r="P176" s="28"/>
      <c r="Q176" s="28"/>
      <c r="R176" s="28"/>
      <c r="S176" s="28"/>
      <c r="T176" s="28"/>
      <c r="U176" s="31">
        <v>9257078.9199999999</v>
      </c>
      <c r="V176" s="28"/>
      <c r="W176" s="28"/>
      <c r="X176" s="28"/>
      <c r="Y176" s="28"/>
      <c r="Z176" s="31">
        <v>999725.2</v>
      </c>
      <c r="AA176" s="31">
        <f t="shared" si="21"/>
        <v>22142560.319999997</v>
      </c>
      <c r="AB176" s="29">
        <v>12505756.199999999</v>
      </c>
      <c r="AC176" s="28"/>
      <c r="AD176" s="31">
        <v>9636804.4199999999</v>
      </c>
      <c r="AE176" s="37"/>
      <c r="AF176" s="20">
        <v>2022</v>
      </c>
      <c r="AG176" s="20">
        <v>2022</v>
      </c>
    </row>
    <row r="177" spans="1:33" ht="84.9" customHeight="1" x14ac:dyDescent="0.45">
      <c r="A177" s="19">
        <v>414</v>
      </c>
      <c r="B177" s="22" t="s">
        <v>587</v>
      </c>
      <c r="C177" s="20" t="s">
        <v>304</v>
      </c>
      <c r="D177" s="19">
        <v>1979</v>
      </c>
      <c r="E177" s="19">
        <v>9</v>
      </c>
      <c r="F177" s="19">
        <v>3</v>
      </c>
      <c r="G177" s="23">
        <v>5706.6</v>
      </c>
      <c r="H177" s="23">
        <v>5706.6</v>
      </c>
      <c r="I177" s="23">
        <v>5706.6</v>
      </c>
      <c r="J177" s="19" t="s">
        <v>364</v>
      </c>
      <c r="K177" s="15"/>
      <c r="L177" s="19" t="s">
        <v>366</v>
      </c>
      <c r="M177" s="19"/>
      <c r="N177" s="28"/>
      <c r="O177" s="29">
        <v>7131453.7199999997</v>
      </c>
      <c r="P177" s="28"/>
      <c r="Q177" s="28"/>
      <c r="R177" s="28"/>
      <c r="S177" s="28"/>
      <c r="T177" s="28"/>
      <c r="U177" s="31">
        <v>5554247.3499999996</v>
      </c>
      <c r="V177" s="28"/>
      <c r="W177" s="28"/>
      <c r="X177" s="28"/>
      <c r="Y177" s="28"/>
      <c r="Z177" s="31">
        <v>599835.12</v>
      </c>
      <c r="AA177" s="31">
        <f t="shared" si="21"/>
        <v>13285536.189999999</v>
      </c>
      <c r="AB177" s="29">
        <v>7503453.7199999997</v>
      </c>
      <c r="AC177" s="28"/>
      <c r="AD177" s="31">
        <v>5782082.4699999997</v>
      </c>
      <c r="AE177" s="37"/>
      <c r="AF177" s="20">
        <v>2022</v>
      </c>
      <c r="AG177" s="20">
        <v>2022</v>
      </c>
    </row>
    <row r="178" spans="1:33" ht="84.9" customHeight="1" x14ac:dyDescent="0.45">
      <c r="A178" s="19">
        <v>415</v>
      </c>
      <c r="B178" s="19" t="s">
        <v>587</v>
      </c>
      <c r="C178" s="19" t="s">
        <v>512</v>
      </c>
      <c r="D178" s="19">
        <v>1962</v>
      </c>
      <c r="E178" s="19">
        <v>5</v>
      </c>
      <c r="F178" s="19">
        <v>3</v>
      </c>
      <c r="G178" s="23">
        <v>2742.6</v>
      </c>
      <c r="H178" s="23">
        <v>2431.1</v>
      </c>
      <c r="I178" s="23">
        <v>2431.1</v>
      </c>
      <c r="J178" s="19">
        <v>107</v>
      </c>
      <c r="K178" s="15" t="s">
        <v>365</v>
      </c>
      <c r="L178" s="19" t="s">
        <v>366</v>
      </c>
      <c r="M178" s="19"/>
      <c r="N178" s="28"/>
      <c r="O178" s="28"/>
      <c r="P178" s="28"/>
      <c r="Q178" s="28"/>
      <c r="R178" s="28"/>
      <c r="S178" s="28"/>
      <c r="T178" s="28"/>
      <c r="U178" s="28"/>
      <c r="V178" s="28">
        <f>ROUND(H178*3727.29*1.015,2)</f>
        <v>9197335.9399999995</v>
      </c>
      <c r="W178" s="28"/>
      <c r="X178" s="28"/>
      <c r="Y178" s="28"/>
      <c r="Z178" s="28">
        <v>543684.88</v>
      </c>
      <c r="AA178" s="28">
        <f>SUM(V178+Z178)</f>
        <v>9741020.8200000003</v>
      </c>
      <c r="AB178" s="28"/>
      <c r="AC178" s="28"/>
      <c r="AD178" s="28">
        <f>SUM(V178+Z178)</f>
        <v>9741020.8200000003</v>
      </c>
      <c r="AE178" s="37"/>
      <c r="AF178" s="19">
        <v>2022</v>
      </c>
      <c r="AG178" s="19">
        <v>2022</v>
      </c>
    </row>
    <row r="179" spans="1:33" ht="84.9" customHeight="1" x14ac:dyDescent="0.45">
      <c r="A179" s="19">
        <v>416</v>
      </c>
      <c r="B179" s="19" t="s">
        <v>587</v>
      </c>
      <c r="C179" s="19" t="s">
        <v>513</v>
      </c>
      <c r="D179" s="19">
        <v>1953</v>
      </c>
      <c r="E179" s="19">
        <v>4</v>
      </c>
      <c r="F179" s="19">
        <v>3</v>
      </c>
      <c r="G179" s="23">
        <v>1621.2</v>
      </c>
      <c r="H179" s="23">
        <f>1040+438.8</f>
        <v>1478.8</v>
      </c>
      <c r="I179" s="23" t="s">
        <v>364</v>
      </c>
      <c r="J179" s="19" t="s">
        <v>364</v>
      </c>
      <c r="K179" s="15" t="s">
        <v>365</v>
      </c>
      <c r="L179" s="19" t="s">
        <v>366</v>
      </c>
      <c r="M179" s="19"/>
      <c r="N179" s="28"/>
      <c r="O179" s="28"/>
      <c r="P179" s="28"/>
      <c r="Q179" s="28"/>
      <c r="R179" s="28"/>
      <c r="S179" s="28"/>
      <c r="T179" s="28"/>
      <c r="U179" s="28"/>
      <c r="V179" s="28"/>
      <c r="W179" s="28">
        <f>ROUND(H179*1954.25*1.015,2)</f>
        <v>2933294.07</v>
      </c>
      <c r="X179" s="28"/>
      <c r="Y179" s="28"/>
      <c r="Z179" s="28">
        <v>7014.9</v>
      </c>
      <c r="AA179" s="28">
        <f>SUM(W179+Z179)</f>
        <v>2940308.9699999997</v>
      </c>
      <c r="AB179" s="28"/>
      <c r="AC179" s="28"/>
      <c r="AD179" s="28">
        <f>AA179</f>
        <v>2940308.9699999997</v>
      </c>
      <c r="AE179" s="37"/>
      <c r="AF179" s="19">
        <v>2020</v>
      </c>
      <c r="AG179" s="19">
        <v>2022</v>
      </c>
    </row>
    <row r="180" spans="1:33" ht="84.9" customHeight="1" x14ac:dyDescent="0.45">
      <c r="A180" s="19">
        <v>417</v>
      </c>
      <c r="B180" s="19" t="s">
        <v>587</v>
      </c>
      <c r="C180" s="19" t="s">
        <v>514</v>
      </c>
      <c r="D180" s="19">
        <v>1959</v>
      </c>
      <c r="E180" s="19">
        <v>3</v>
      </c>
      <c r="F180" s="19">
        <v>2</v>
      </c>
      <c r="G180" s="23">
        <v>1324.4</v>
      </c>
      <c r="H180" s="23">
        <f>990.4+225.4</f>
        <v>1215.8</v>
      </c>
      <c r="I180" s="23">
        <v>703.5</v>
      </c>
      <c r="J180" s="19">
        <v>31</v>
      </c>
      <c r="K180" s="15" t="s">
        <v>365</v>
      </c>
      <c r="L180" s="19" t="s">
        <v>366</v>
      </c>
      <c r="M180" s="19"/>
      <c r="N180" s="28"/>
      <c r="O180" s="28"/>
      <c r="P180" s="28"/>
      <c r="Q180" s="28"/>
      <c r="R180" s="28"/>
      <c r="S180" s="28"/>
      <c r="T180" s="28"/>
      <c r="U180" s="28"/>
      <c r="V180" s="28">
        <f>ROUND(H180*5975.33*1.015,2)</f>
        <v>7373778.3099999996</v>
      </c>
      <c r="W180" s="28"/>
      <c r="X180" s="28"/>
      <c r="Y180" s="28"/>
      <c r="Z180" s="28">
        <v>310356.7</v>
      </c>
      <c r="AA180" s="28">
        <f>SUM(V180+Z180)</f>
        <v>7684135.0099999998</v>
      </c>
      <c r="AB180" s="28"/>
      <c r="AC180" s="28"/>
      <c r="AD180" s="28">
        <f>SUM(V180+Z180)</f>
        <v>7684135.0099999998</v>
      </c>
      <c r="AE180" s="37"/>
      <c r="AF180" s="19">
        <v>2022</v>
      </c>
      <c r="AG180" s="19">
        <v>2022</v>
      </c>
    </row>
    <row r="181" spans="1:33" ht="84.9" customHeight="1" x14ac:dyDescent="0.45">
      <c r="A181" s="19">
        <v>418</v>
      </c>
      <c r="B181" s="21" t="s">
        <v>587</v>
      </c>
      <c r="C181" s="22" t="s">
        <v>305</v>
      </c>
      <c r="D181" s="19" t="s">
        <v>515</v>
      </c>
      <c r="E181" s="19">
        <v>9</v>
      </c>
      <c r="F181" s="19">
        <v>3</v>
      </c>
      <c r="G181" s="23">
        <v>5200</v>
      </c>
      <c r="H181" s="23">
        <v>5196.8</v>
      </c>
      <c r="I181" s="23">
        <v>5064.8</v>
      </c>
      <c r="J181" s="19">
        <v>270</v>
      </c>
      <c r="K181" s="15" t="s">
        <v>365</v>
      </c>
      <c r="L181" s="19" t="s">
        <v>366</v>
      </c>
      <c r="M181" s="19"/>
      <c r="N181" s="28"/>
      <c r="O181" s="29">
        <v>7131453.7199999997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9">
        <v>372000</v>
      </c>
      <c r="AA181" s="29">
        <f>SUM(O181+Z181)</f>
        <v>7503453.7199999997</v>
      </c>
      <c r="AB181" s="29">
        <f>AA181</f>
        <v>7503453.7199999997</v>
      </c>
      <c r="AC181" s="28"/>
      <c r="AD181" s="28"/>
      <c r="AE181" s="37"/>
      <c r="AF181" s="22">
        <v>2022</v>
      </c>
      <c r="AG181" s="22">
        <v>2022</v>
      </c>
    </row>
    <row r="182" spans="1:33" ht="84.9" customHeight="1" x14ac:dyDescent="0.45">
      <c r="A182" s="19">
        <v>419</v>
      </c>
      <c r="B182" s="14" t="s">
        <v>587</v>
      </c>
      <c r="C182" s="19" t="s">
        <v>516</v>
      </c>
      <c r="D182" s="19">
        <v>1956</v>
      </c>
      <c r="E182" s="19">
        <v>5</v>
      </c>
      <c r="F182" s="19">
        <v>2</v>
      </c>
      <c r="G182" s="23">
        <v>3169.3</v>
      </c>
      <c r="H182" s="23">
        <f>1669.8+1305.9</f>
        <v>2975.7</v>
      </c>
      <c r="I182" s="23" t="s">
        <v>364</v>
      </c>
      <c r="J182" s="19" t="s">
        <v>364</v>
      </c>
      <c r="K182" s="15" t="s">
        <v>365</v>
      </c>
      <c r="L182" s="19" t="s">
        <v>366</v>
      </c>
      <c r="M182" s="19"/>
      <c r="N182" s="28"/>
      <c r="O182" s="28"/>
      <c r="P182" s="28"/>
      <c r="Q182" s="28"/>
      <c r="R182" s="28"/>
      <c r="S182" s="28"/>
      <c r="T182" s="28"/>
      <c r="U182" s="28"/>
      <c r="V182" s="28">
        <f>ROUND(3855.19*H182*1.015,2)</f>
        <v>11643967.220000001</v>
      </c>
      <c r="W182" s="28"/>
      <c r="X182" s="28"/>
      <c r="Y182" s="28"/>
      <c r="Z182" s="28">
        <v>486116.38</v>
      </c>
      <c r="AA182" s="28">
        <f>SUM(V182+Z182)</f>
        <v>12130083.600000001</v>
      </c>
      <c r="AB182" s="28"/>
      <c r="AC182" s="28"/>
      <c r="AD182" s="28">
        <f>SUM(N182:Z182)</f>
        <v>12130083.600000001</v>
      </c>
      <c r="AE182" s="37"/>
      <c r="AF182" s="19">
        <v>2020</v>
      </c>
      <c r="AG182" s="19">
        <v>2022</v>
      </c>
    </row>
    <row r="183" spans="1:33" ht="84.9" customHeight="1" x14ac:dyDescent="0.45">
      <c r="A183" s="19">
        <v>420</v>
      </c>
      <c r="B183" s="14" t="s">
        <v>587</v>
      </c>
      <c r="C183" s="19" t="s">
        <v>517</v>
      </c>
      <c r="D183" s="14">
        <v>1957</v>
      </c>
      <c r="E183" s="14">
        <v>5</v>
      </c>
      <c r="F183" s="14">
        <v>9</v>
      </c>
      <c r="G183" s="42">
        <v>11300.71</v>
      </c>
      <c r="H183" s="42">
        <v>10366.1</v>
      </c>
      <c r="I183" s="42">
        <v>7571.6</v>
      </c>
      <c r="J183" s="14">
        <v>141</v>
      </c>
      <c r="K183" s="44" t="s">
        <v>365</v>
      </c>
      <c r="L183" s="19" t="s">
        <v>366</v>
      </c>
      <c r="M183" s="14"/>
      <c r="N183" s="45"/>
      <c r="O183" s="45"/>
      <c r="P183" s="45"/>
      <c r="Q183" s="45"/>
      <c r="R183" s="45"/>
      <c r="S183" s="45"/>
      <c r="T183" s="45"/>
      <c r="U183" s="45"/>
      <c r="V183" s="45">
        <f>ROUND(H183*3855.19*1.015,2)</f>
        <v>40562734.329999998</v>
      </c>
      <c r="W183" s="45"/>
      <c r="X183" s="45"/>
      <c r="Y183" s="45"/>
      <c r="Z183" s="45">
        <v>2327236.1</v>
      </c>
      <c r="AA183" s="28">
        <f>SUM(V183+Z183)</f>
        <v>42889970.43</v>
      </c>
      <c r="AB183" s="28"/>
      <c r="AC183" s="28"/>
      <c r="AD183" s="28">
        <f>SUM(V183+Z183)</f>
        <v>42889970.43</v>
      </c>
      <c r="AE183" s="46"/>
      <c r="AF183" s="14">
        <v>2022</v>
      </c>
      <c r="AG183" s="14">
        <v>2023</v>
      </c>
    </row>
    <row r="184" spans="1:33" ht="84.9" customHeight="1" x14ac:dyDescent="0.45">
      <c r="A184" s="19">
        <v>421</v>
      </c>
      <c r="B184" s="14" t="s">
        <v>587</v>
      </c>
      <c r="C184" s="14" t="s">
        <v>518</v>
      </c>
      <c r="D184" s="14">
        <v>1951</v>
      </c>
      <c r="E184" s="14">
        <v>2</v>
      </c>
      <c r="F184" s="14">
        <v>2</v>
      </c>
      <c r="G184" s="42">
        <v>954.8</v>
      </c>
      <c r="H184" s="42">
        <v>954.8</v>
      </c>
      <c r="I184" s="42">
        <v>592.20000000000005</v>
      </c>
      <c r="J184" s="14">
        <v>33</v>
      </c>
      <c r="K184" s="44" t="s">
        <v>460</v>
      </c>
      <c r="L184" s="14" t="s">
        <v>366</v>
      </c>
      <c r="M184" s="14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>
        <v>6280782.7699999996</v>
      </c>
      <c r="Y184" s="45"/>
      <c r="Z184" s="45"/>
      <c r="AA184" s="28">
        <f>X184</f>
        <v>6280782.7699999996</v>
      </c>
      <c r="AB184" s="28"/>
      <c r="AC184" s="28"/>
      <c r="AD184" s="28">
        <f>AA184</f>
        <v>6280782.7699999996</v>
      </c>
      <c r="AE184" s="46"/>
      <c r="AF184" s="14">
        <v>2022</v>
      </c>
      <c r="AG184" s="14">
        <v>2023</v>
      </c>
    </row>
    <row r="185" spans="1:33" ht="84.9" customHeight="1" x14ac:dyDescent="0.45">
      <c r="A185" s="19">
        <v>422</v>
      </c>
      <c r="B185" s="14" t="s">
        <v>587</v>
      </c>
      <c r="C185" s="14" t="s">
        <v>519</v>
      </c>
      <c r="D185" s="14">
        <v>1951</v>
      </c>
      <c r="E185" s="14">
        <v>3</v>
      </c>
      <c r="F185" s="14">
        <v>3</v>
      </c>
      <c r="G185" s="42">
        <v>1914.5</v>
      </c>
      <c r="H185" s="42">
        <v>1905.9</v>
      </c>
      <c r="I185" s="42" t="s">
        <v>364</v>
      </c>
      <c r="J185" s="14" t="s">
        <v>364</v>
      </c>
      <c r="K185" s="44" t="s">
        <v>423</v>
      </c>
      <c r="L185" s="14" t="s">
        <v>366</v>
      </c>
      <c r="M185" s="14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>
        <v>7432827.1299999999</v>
      </c>
      <c r="Y185" s="45"/>
      <c r="Z185" s="45">
        <v>619835.74</v>
      </c>
      <c r="AA185" s="28">
        <f>SUM(X185+Z185)</f>
        <v>8052662.8700000001</v>
      </c>
      <c r="AB185" s="28"/>
      <c r="AC185" s="28"/>
      <c r="AD185" s="28">
        <f t="shared" ref="AD185:AD209" si="22">AA185</f>
        <v>8052662.8700000001</v>
      </c>
      <c r="AE185" s="46"/>
      <c r="AF185" s="14">
        <v>2022</v>
      </c>
      <c r="AG185" s="14">
        <v>2023</v>
      </c>
    </row>
    <row r="186" spans="1:33" ht="84.9" customHeight="1" x14ac:dyDescent="0.45">
      <c r="A186" s="19">
        <v>423</v>
      </c>
      <c r="B186" s="14" t="s">
        <v>587</v>
      </c>
      <c r="C186" s="14" t="s">
        <v>521</v>
      </c>
      <c r="D186" s="14">
        <v>1955</v>
      </c>
      <c r="E186" s="14">
        <v>4</v>
      </c>
      <c r="F186" s="14">
        <v>3</v>
      </c>
      <c r="G186" s="42">
        <v>2701.9</v>
      </c>
      <c r="H186" s="42">
        <f>1861.9+645.3</f>
        <v>2507.1999999999998</v>
      </c>
      <c r="I186" s="42">
        <v>1736.4</v>
      </c>
      <c r="J186" s="14">
        <v>51</v>
      </c>
      <c r="K186" s="44" t="s">
        <v>365</v>
      </c>
      <c r="L186" s="14" t="s">
        <v>366</v>
      </c>
      <c r="M186" s="14"/>
      <c r="N186" s="45"/>
      <c r="O186" s="45"/>
      <c r="P186" s="45"/>
      <c r="Q186" s="45"/>
      <c r="R186" s="45"/>
      <c r="S186" s="45"/>
      <c r="T186" s="45"/>
      <c r="U186" s="45"/>
      <c r="V186" s="45">
        <f>ROUND(H186*5975.33*1.015,2)</f>
        <v>15206067.59</v>
      </c>
      <c r="W186" s="45"/>
      <c r="X186" s="45"/>
      <c r="Y186" s="45"/>
      <c r="Z186" s="45">
        <v>852955.1</v>
      </c>
      <c r="AA186" s="28">
        <f>SUM(V186+Z186)</f>
        <v>16059022.689999999</v>
      </c>
      <c r="AB186" s="28"/>
      <c r="AC186" s="28"/>
      <c r="AD186" s="28">
        <f>SUM(V186+Z186)</f>
        <v>16059022.689999999</v>
      </c>
      <c r="AE186" s="46"/>
      <c r="AF186" s="14">
        <v>2022</v>
      </c>
      <c r="AG186" s="14">
        <v>2022</v>
      </c>
    </row>
    <row r="187" spans="1:33" ht="84.9" customHeight="1" x14ac:dyDescent="0.45">
      <c r="A187" s="19">
        <v>424</v>
      </c>
      <c r="B187" s="14" t="s">
        <v>587</v>
      </c>
      <c r="C187" s="14" t="s">
        <v>522</v>
      </c>
      <c r="D187" s="14">
        <v>1956</v>
      </c>
      <c r="E187" s="14">
        <v>2</v>
      </c>
      <c r="F187" s="14">
        <v>1</v>
      </c>
      <c r="G187" s="42">
        <v>711.6</v>
      </c>
      <c r="H187" s="42">
        <f>458.7+205.6</f>
        <v>664.3</v>
      </c>
      <c r="I187" s="42">
        <v>323.5</v>
      </c>
      <c r="J187" s="14">
        <v>20</v>
      </c>
      <c r="K187" s="44" t="s">
        <v>365</v>
      </c>
      <c r="L187" s="14" t="s">
        <v>366</v>
      </c>
      <c r="M187" s="14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>
        <f>ROUND(H187*6480.9*1.015,2)</f>
        <v>4369840.8</v>
      </c>
      <c r="Y187" s="45"/>
      <c r="Z187" s="45">
        <v>258315.71</v>
      </c>
      <c r="AA187" s="28">
        <f>SUM(X187+Z187)</f>
        <v>4628156.51</v>
      </c>
      <c r="AB187" s="28"/>
      <c r="AC187" s="28"/>
      <c r="AD187" s="28">
        <f>SUM(X187+Z187)</f>
        <v>4628156.51</v>
      </c>
      <c r="AE187" s="46"/>
      <c r="AF187" s="14">
        <v>2022</v>
      </c>
      <c r="AG187" s="14">
        <v>2022</v>
      </c>
    </row>
    <row r="188" spans="1:33" ht="84.9" customHeight="1" x14ac:dyDescent="0.45">
      <c r="A188" s="19">
        <v>425</v>
      </c>
      <c r="B188" s="14" t="s">
        <v>587</v>
      </c>
      <c r="C188" s="21" t="s">
        <v>306</v>
      </c>
      <c r="D188" s="14" t="s">
        <v>408</v>
      </c>
      <c r="E188" s="14">
        <v>5</v>
      </c>
      <c r="F188" s="14">
        <v>8</v>
      </c>
      <c r="G188" s="42">
        <v>6414.5</v>
      </c>
      <c r="H188" s="42">
        <v>6414.6</v>
      </c>
      <c r="I188" s="42">
        <v>6400.6</v>
      </c>
      <c r="J188" s="14">
        <v>306</v>
      </c>
      <c r="K188" s="44" t="s">
        <v>365</v>
      </c>
      <c r="L188" s="14" t="s">
        <v>366</v>
      </c>
      <c r="M188" s="14"/>
      <c r="N188" s="45"/>
      <c r="O188" s="29">
        <v>2377151.2400000002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9">
        <v>124000</v>
      </c>
      <c r="AA188" s="29">
        <f t="shared" ref="AA188:AA207" si="23">SUM(O188+Z188)</f>
        <v>2501151.2400000002</v>
      </c>
      <c r="AB188" s="29">
        <v>2501151.2400000002</v>
      </c>
      <c r="AC188" s="28"/>
      <c r="AD188" s="28"/>
      <c r="AE188" s="37"/>
      <c r="AF188" s="22">
        <v>2022</v>
      </c>
      <c r="AG188" s="22">
        <v>2022</v>
      </c>
    </row>
    <row r="189" spans="1:33" ht="84.9" customHeight="1" x14ac:dyDescent="0.45">
      <c r="A189" s="19">
        <v>426</v>
      </c>
      <c r="B189" s="14" t="s">
        <v>587</v>
      </c>
      <c r="C189" s="21" t="s">
        <v>307</v>
      </c>
      <c r="D189" s="14" t="s">
        <v>408</v>
      </c>
      <c r="E189" s="14">
        <v>5</v>
      </c>
      <c r="F189" s="14">
        <v>8</v>
      </c>
      <c r="G189" s="42">
        <v>5783</v>
      </c>
      <c r="H189" s="42">
        <v>5786.1</v>
      </c>
      <c r="I189" s="42">
        <v>5772.4</v>
      </c>
      <c r="J189" s="14">
        <v>273</v>
      </c>
      <c r="K189" s="44" t="s">
        <v>365</v>
      </c>
      <c r="L189" s="14" t="s">
        <v>366</v>
      </c>
      <c r="M189" s="14"/>
      <c r="N189" s="45"/>
      <c r="O189" s="29">
        <v>2377151.2400000002</v>
      </c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29">
        <v>124000</v>
      </c>
      <c r="AA189" s="29">
        <f t="shared" si="23"/>
        <v>2501151.2400000002</v>
      </c>
      <c r="AB189" s="29">
        <v>2501151.2400000002</v>
      </c>
      <c r="AC189" s="28"/>
      <c r="AD189" s="28"/>
      <c r="AE189" s="37"/>
      <c r="AF189" s="22">
        <v>2022</v>
      </c>
      <c r="AG189" s="22">
        <v>2022</v>
      </c>
    </row>
    <row r="190" spans="1:33" ht="84.9" customHeight="1" x14ac:dyDescent="0.45">
      <c r="A190" s="19">
        <v>427</v>
      </c>
      <c r="B190" s="14" t="s">
        <v>587</v>
      </c>
      <c r="C190" s="21" t="s">
        <v>309</v>
      </c>
      <c r="D190" s="14" t="s">
        <v>408</v>
      </c>
      <c r="E190" s="14">
        <v>5</v>
      </c>
      <c r="F190" s="14">
        <v>4</v>
      </c>
      <c r="G190" s="42">
        <v>2862.6</v>
      </c>
      <c r="H190" s="42">
        <v>2861.9</v>
      </c>
      <c r="I190" s="42">
        <v>2845.1</v>
      </c>
      <c r="J190" s="14">
        <v>137</v>
      </c>
      <c r="K190" s="44" t="s">
        <v>365</v>
      </c>
      <c r="L190" s="14" t="s">
        <v>366</v>
      </c>
      <c r="M190" s="14"/>
      <c r="N190" s="45"/>
      <c r="O190" s="29">
        <v>2377151.2400000002</v>
      </c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29">
        <v>124000</v>
      </c>
      <c r="AA190" s="29">
        <f t="shared" si="23"/>
        <v>2501151.2400000002</v>
      </c>
      <c r="AB190" s="29">
        <v>2501151.2400000002</v>
      </c>
      <c r="AC190" s="28"/>
      <c r="AD190" s="28"/>
      <c r="AE190" s="37"/>
      <c r="AF190" s="22">
        <v>2022</v>
      </c>
      <c r="AG190" s="22">
        <v>2022</v>
      </c>
    </row>
    <row r="191" spans="1:33" ht="84.9" customHeight="1" x14ac:dyDescent="0.45">
      <c r="A191" s="19">
        <v>428</v>
      </c>
      <c r="B191" s="14" t="s">
        <v>587</v>
      </c>
      <c r="C191" s="21" t="s">
        <v>310</v>
      </c>
      <c r="D191" s="14" t="s">
        <v>408</v>
      </c>
      <c r="E191" s="14">
        <v>5</v>
      </c>
      <c r="F191" s="14">
        <v>4</v>
      </c>
      <c r="G191" s="42">
        <v>2983.4</v>
      </c>
      <c r="H191" s="42">
        <v>2983.1</v>
      </c>
      <c r="I191" s="42">
        <v>2966.3</v>
      </c>
      <c r="J191" s="14">
        <v>137</v>
      </c>
      <c r="K191" s="44" t="s">
        <v>365</v>
      </c>
      <c r="L191" s="14" t="s">
        <v>366</v>
      </c>
      <c r="M191" s="14"/>
      <c r="N191" s="45"/>
      <c r="O191" s="29">
        <v>2377151.2400000002</v>
      </c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29">
        <v>124000</v>
      </c>
      <c r="AA191" s="29">
        <f t="shared" si="23"/>
        <v>2501151.2400000002</v>
      </c>
      <c r="AB191" s="29">
        <v>2501151.2400000002</v>
      </c>
      <c r="AC191" s="28"/>
      <c r="AD191" s="28"/>
      <c r="AE191" s="37"/>
      <c r="AF191" s="22">
        <v>2022</v>
      </c>
      <c r="AG191" s="22">
        <v>2022</v>
      </c>
    </row>
    <row r="192" spans="1:33" ht="84.9" customHeight="1" x14ac:dyDescent="0.45">
      <c r="A192" s="19">
        <v>429</v>
      </c>
      <c r="B192" s="14" t="s">
        <v>587</v>
      </c>
      <c r="C192" s="21" t="s">
        <v>311</v>
      </c>
      <c r="D192" s="14">
        <v>1968</v>
      </c>
      <c r="E192" s="14">
        <v>5</v>
      </c>
      <c r="F192" s="14">
        <v>8</v>
      </c>
      <c r="G192" s="42">
        <v>6149.5</v>
      </c>
      <c r="H192" s="42">
        <v>6146.1</v>
      </c>
      <c r="I192" s="42">
        <v>6023.3</v>
      </c>
      <c r="J192" s="14">
        <v>333</v>
      </c>
      <c r="K192" s="44" t="s">
        <v>365</v>
      </c>
      <c r="L192" s="14" t="s">
        <v>366</v>
      </c>
      <c r="M192" s="14"/>
      <c r="N192" s="45"/>
      <c r="O192" s="29">
        <v>2377151.2400000002</v>
      </c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29">
        <v>124000</v>
      </c>
      <c r="AA192" s="29">
        <f t="shared" si="23"/>
        <v>2501151.2400000002</v>
      </c>
      <c r="AB192" s="29">
        <v>2501151.2400000002</v>
      </c>
      <c r="AC192" s="28"/>
      <c r="AD192" s="28"/>
      <c r="AE192" s="37"/>
      <c r="AF192" s="22">
        <v>2022</v>
      </c>
      <c r="AG192" s="22">
        <v>2022</v>
      </c>
    </row>
    <row r="193" spans="1:33" ht="84.9" customHeight="1" x14ac:dyDescent="0.45">
      <c r="A193" s="19">
        <v>430</v>
      </c>
      <c r="B193" s="14" t="s">
        <v>587</v>
      </c>
      <c r="C193" s="21" t="s">
        <v>312</v>
      </c>
      <c r="D193" s="14">
        <v>1968</v>
      </c>
      <c r="E193" s="14">
        <v>5</v>
      </c>
      <c r="F193" s="14">
        <v>4</v>
      </c>
      <c r="G193" s="42">
        <v>3032.2</v>
      </c>
      <c r="H193" s="42">
        <v>3057.9</v>
      </c>
      <c r="I193" s="42">
        <v>2821</v>
      </c>
      <c r="J193" s="14">
        <v>122</v>
      </c>
      <c r="K193" s="44" t="s">
        <v>365</v>
      </c>
      <c r="L193" s="14" t="s">
        <v>366</v>
      </c>
      <c r="M193" s="14"/>
      <c r="N193" s="45"/>
      <c r="O193" s="29">
        <v>2377151.2400000002</v>
      </c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29">
        <v>124000</v>
      </c>
      <c r="AA193" s="29">
        <f t="shared" si="23"/>
        <v>2501151.2400000002</v>
      </c>
      <c r="AB193" s="29">
        <v>2501151.2400000002</v>
      </c>
      <c r="AC193" s="28"/>
      <c r="AD193" s="28"/>
      <c r="AE193" s="37"/>
      <c r="AF193" s="22">
        <v>2022</v>
      </c>
      <c r="AG193" s="22">
        <v>2022</v>
      </c>
    </row>
    <row r="194" spans="1:33" ht="84.9" customHeight="1" x14ac:dyDescent="0.45">
      <c r="A194" s="19">
        <v>431</v>
      </c>
      <c r="B194" s="14" t="s">
        <v>587</v>
      </c>
      <c r="C194" s="21" t="s">
        <v>313</v>
      </c>
      <c r="D194" s="14">
        <v>1968</v>
      </c>
      <c r="E194" s="14">
        <v>5</v>
      </c>
      <c r="F194" s="14">
        <v>4</v>
      </c>
      <c r="G194" s="42">
        <v>2797.6</v>
      </c>
      <c r="H194" s="42">
        <v>2796.7</v>
      </c>
      <c r="I194" s="42">
        <v>2719.3</v>
      </c>
      <c r="J194" s="14">
        <v>137</v>
      </c>
      <c r="K194" s="44" t="s">
        <v>365</v>
      </c>
      <c r="L194" s="14" t="s">
        <v>366</v>
      </c>
      <c r="M194" s="14"/>
      <c r="N194" s="45"/>
      <c r="O194" s="29">
        <v>2377151.2400000002</v>
      </c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29">
        <v>124000</v>
      </c>
      <c r="AA194" s="29">
        <f t="shared" si="23"/>
        <v>2501151.2400000002</v>
      </c>
      <c r="AB194" s="29">
        <v>2501151.2400000002</v>
      </c>
      <c r="AC194" s="28"/>
      <c r="AD194" s="28"/>
      <c r="AE194" s="37"/>
      <c r="AF194" s="22">
        <v>2022</v>
      </c>
      <c r="AG194" s="22">
        <v>2022</v>
      </c>
    </row>
    <row r="195" spans="1:33" ht="84.9" customHeight="1" x14ac:dyDescent="0.45">
      <c r="A195" s="19">
        <v>432</v>
      </c>
      <c r="B195" s="14" t="s">
        <v>587</v>
      </c>
      <c r="C195" s="21" t="s">
        <v>314</v>
      </c>
      <c r="D195" s="14">
        <v>1968</v>
      </c>
      <c r="E195" s="14">
        <v>5</v>
      </c>
      <c r="F195" s="14">
        <v>4</v>
      </c>
      <c r="G195" s="42">
        <v>3037.8</v>
      </c>
      <c r="H195" s="42">
        <v>3035.8</v>
      </c>
      <c r="I195" s="42">
        <v>3005.8</v>
      </c>
      <c r="J195" s="14" t="s">
        <v>530</v>
      </c>
      <c r="K195" s="44" t="s">
        <v>365</v>
      </c>
      <c r="L195" s="14" t="s">
        <v>366</v>
      </c>
      <c r="M195" s="14"/>
      <c r="N195" s="45"/>
      <c r="O195" s="29">
        <v>2377151.2400000002</v>
      </c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29">
        <v>124000</v>
      </c>
      <c r="AA195" s="29">
        <f t="shared" si="23"/>
        <v>2501151.2400000002</v>
      </c>
      <c r="AB195" s="29">
        <v>2501151.2400000002</v>
      </c>
      <c r="AC195" s="28"/>
      <c r="AD195" s="28"/>
      <c r="AE195" s="37"/>
      <c r="AF195" s="22">
        <v>2022</v>
      </c>
      <c r="AG195" s="22">
        <v>2022</v>
      </c>
    </row>
    <row r="196" spans="1:33" ht="84.9" customHeight="1" x14ac:dyDescent="0.45">
      <c r="A196" s="19">
        <v>433</v>
      </c>
      <c r="B196" s="14" t="s">
        <v>587</v>
      </c>
      <c r="C196" s="21" t="s">
        <v>315</v>
      </c>
      <c r="D196" s="14">
        <v>1968</v>
      </c>
      <c r="E196" s="14">
        <v>5</v>
      </c>
      <c r="F196" s="14">
        <v>4</v>
      </c>
      <c r="G196" s="42">
        <v>3961.2</v>
      </c>
      <c r="H196" s="42">
        <v>3941.6</v>
      </c>
      <c r="I196" s="42">
        <v>3353</v>
      </c>
      <c r="J196" s="14">
        <v>174</v>
      </c>
      <c r="K196" s="44" t="s">
        <v>365</v>
      </c>
      <c r="L196" s="14" t="s">
        <v>366</v>
      </c>
      <c r="M196" s="14"/>
      <c r="N196" s="45"/>
      <c r="O196" s="29">
        <v>2377151.2400000002</v>
      </c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29">
        <v>124000</v>
      </c>
      <c r="AA196" s="29">
        <f t="shared" si="23"/>
        <v>2501151.2400000002</v>
      </c>
      <c r="AB196" s="29">
        <v>2501151.2400000002</v>
      </c>
      <c r="AC196" s="28"/>
      <c r="AD196" s="28"/>
      <c r="AE196" s="37"/>
      <c r="AF196" s="22">
        <v>2022</v>
      </c>
      <c r="AG196" s="22">
        <v>2022</v>
      </c>
    </row>
    <row r="197" spans="1:33" ht="84.9" customHeight="1" x14ac:dyDescent="0.45">
      <c r="A197" s="19">
        <v>434</v>
      </c>
      <c r="B197" s="14" t="s">
        <v>587</v>
      </c>
      <c r="C197" s="21" t="s">
        <v>316</v>
      </c>
      <c r="D197" s="14">
        <v>1967</v>
      </c>
      <c r="E197" s="14">
        <v>5</v>
      </c>
      <c r="F197" s="14">
        <v>4</v>
      </c>
      <c r="G197" s="42" t="s">
        <v>533</v>
      </c>
      <c r="H197" s="42">
        <v>2731</v>
      </c>
      <c r="I197" s="42">
        <v>2713.8</v>
      </c>
      <c r="J197" s="14">
        <v>133</v>
      </c>
      <c r="K197" s="44" t="s">
        <v>365</v>
      </c>
      <c r="L197" s="14" t="s">
        <v>366</v>
      </c>
      <c r="M197" s="14"/>
      <c r="N197" s="45"/>
      <c r="O197" s="29">
        <v>2377151.2400000002</v>
      </c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29">
        <v>124000</v>
      </c>
      <c r="AA197" s="29">
        <f t="shared" si="23"/>
        <v>2501151.2400000002</v>
      </c>
      <c r="AB197" s="29">
        <v>2501151.2400000002</v>
      </c>
      <c r="AC197" s="28"/>
      <c r="AD197" s="28"/>
      <c r="AE197" s="37"/>
      <c r="AF197" s="22">
        <v>2022</v>
      </c>
      <c r="AG197" s="22">
        <v>2022</v>
      </c>
    </row>
    <row r="198" spans="1:33" ht="84.9" customHeight="1" x14ac:dyDescent="0.45">
      <c r="A198" s="19">
        <v>435</v>
      </c>
      <c r="B198" s="14" t="s">
        <v>587</v>
      </c>
      <c r="C198" s="21" t="s">
        <v>318</v>
      </c>
      <c r="D198" s="14">
        <v>1967</v>
      </c>
      <c r="E198" s="14">
        <v>5</v>
      </c>
      <c r="F198" s="14">
        <v>4</v>
      </c>
      <c r="G198" s="42" t="s">
        <v>536</v>
      </c>
      <c r="H198" s="42">
        <v>2735.2</v>
      </c>
      <c r="I198" s="42">
        <v>2717.8</v>
      </c>
      <c r="J198" s="14">
        <v>113</v>
      </c>
      <c r="K198" s="44" t="s">
        <v>365</v>
      </c>
      <c r="L198" s="14" t="s">
        <v>366</v>
      </c>
      <c r="M198" s="14"/>
      <c r="N198" s="45"/>
      <c r="O198" s="29">
        <v>2377151.2400000002</v>
      </c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29">
        <v>124000</v>
      </c>
      <c r="AA198" s="29">
        <f t="shared" si="23"/>
        <v>2501151.2400000002</v>
      </c>
      <c r="AB198" s="29">
        <v>2501151.2400000002</v>
      </c>
      <c r="AC198" s="28"/>
      <c r="AD198" s="28"/>
      <c r="AE198" s="37"/>
      <c r="AF198" s="22">
        <v>2022</v>
      </c>
      <c r="AG198" s="22">
        <v>2022</v>
      </c>
    </row>
    <row r="199" spans="1:33" ht="84.9" customHeight="1" x14ac:dyDescent="0.45">
      <c r="A199" s="19">
        <v>436</v>
      </c>
      <c r="B199" s="14" t="s">
        <v>587</v>
      </c>
      <c r="C199" s="21" t="s">
        <v>319</v>
      </c>
      <c r="D199" s="14">
        <v>1967</v>
      </c>
      <c r="E199" s="14">
        <v>5</v>
      </c>
      <c r="F199" s="14">
        <v>6</v>
      </c>
      <c r="G199" s="42">
        <v>4451.8</v>
      </c>
      <c r="H199" s="42">
        <v>4447.2</v>
      </c>
      <c r="I199" s="42">
        <v>4363.2</v>
      </c>
      <c r="J199" s="14">
        <v>221</v>
      </c>
      <c r="K199" s="44" t="s">
        <v>365</v>
      </c>
      <c r="L199" s="14" t="s">
        <v>366</v>
      </c>
      <c r="M199" s="14"/>
      <c r="N199" s="45"/>
      <c r="O199" s="29">
        <v>2377151.2400000002</v>
      </c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29">
        <v>124000</v>
      </c>
      <c r="AA199" s="29">
        <f t="shared" si="23"/>
        <v>2501151.2400000002</v>
      </c>
      <c r="AB199" s="29">
        <v>2501151.2400000002</v>
      </c>
      <c r="AC199" s="28"/>
      <c r="AD199" s="28"/>
      <c r="AE199" s="37"/>
      <c r="AF199" s="22">
        <v>2022</v>
      </c>
      <c r="AG199" s="22">
        <v>2022</v>
      </c>
    </row>
    <row r="200" spans="1:33" ht="84.9" customHeight="1" x14ac:dyDescent="0.45">
      <c r="A200" s="19">
        <v>437</v>
      </c>
      <c r="B200" s="14" t="s">
        <v>587</v>
      </c>
      <c r="C200" s="21" t="s">
        <v>320</v>
      </c>
      <c r="D200" s="14">
        <v>1968</v>
      </c>
      <c r="E200" s="14">
        <v>5</v>
      </c>
      <c r="F200" s="14">
        <v>6</v>
      </c>
      <c r="G200" s="42" t="s">
        <v>537</v>
      </c>
      <c r="H200" s="42">
        <v>2968.6</v>
      </c>
      <c r="I200" s="42">
        <v>2861.5</v>
      </c>
      <c r="J200" s="14">
        <v>131</v>
      </c>
      <c r="K200" s="44" t="s">
        <v>365</v>
      </c>
      <c r="L200" s="14" t="s">
        <v>366</v>
      </c>
      <c r="M200" s="14"/>
      <c r="N200" s="45"/>
      <c r="O200" s="29">
        <v>2377151.2400000002</v>
      </c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29">
        <v>124000</v>
      </c>
      <c r="AA200" s="29">
        <f t="shared" si="23"/>
        <v>2501151.2400000002</v>
      </c>
      <c r="AB200" s="29">
        <v>2501151.2400000002</v>
      </c>
      <c r="AC200" s="28"/>
      <c r="AD200" s="28"/>
      <c r="AE200" s="37"/>
      <c r="AF200" s="22">
        <v>2022</v>
      </c>
      <c r="AG200" s="22">
        <v>2022</v>
      </c>
    </row>
    <row r="201" spans="1:33" ht="84.9" customHeight="1" x14ac:dyDescent="0.45">
      <c r="A201" s="19">
        <v>438</v>
      </c>
      <c r="B201" s="14" t="s">
        <v>587</v>
      </c>
      <c r="C201" s="21" t="s">
        <v>321</v>
      </c>
      <c r="D201" s="14">
        <v>1969</v>
      </c>
      <c r="E201" s="14">
        <v>5</v>
      </c>
      <c r="F201" s="14">
        <v>6</v>
      </c>
      <c r="G201" s="42">
        <v>4473.7</v>
      </c>
      <c r="H201" s="42">
        <v>4473.8999999999996</v>
      </c>
      <c r="I201" s="42">
        <v>4401.3</v>
      </c>
      <c r="J201" s="14">
        <v>224</v>
      </c>
      <c r="K201" s="44" t="s">
        <v>365</v>
      </c>
      <c r="L201" s="14" t="s">
        <v>366</v>
      </c>
      <c r="M201" s="14"/>
      <c r="N201" s="45"/>
      <c r="O201" s="29">
        <v>2377151.2400000002</v>
      </c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29">
        <v>124000</v>
      </c>
      <c r="AA201" s="29">
        <f t="shared" si="23"/>
        <v>2501151.2400000002</v>
      </c>
      <c r="AB201" s="29">
        <v>2501151.2400000002</v>
      </c>
      <c r="AC201" s="28"/>
      <c r="AD201" s="28"/>
      <c r="AE201" s="37"/>
      <c r="AF201" s="22">
        <v>2022</v>
      </c>
      <c r="AG201" s="22">
        <v>2022</v>
      </c>
    </row>
    <row r="202" spans="1:33" ht="84.9" customHeight="1" x14ac:dyDescent="0.45">
      <c r="A202" s="19">
        <v>439</v>
      </c>
      <c r="B202" s="14" t="s">
        <v>587</v>
      </c>
      <c r="C202" s="21" t="s">
        <v>322</v>
      </c>
      <c r="D202" s="14">
        <v>1970</v>
      </c>
      <c r="E202" s="14">
        <v>5</v>
      </c>
      <c r="F202" s="14">
        <v>9</v>
      </c>
      <c r="G202" s="42">
        <v>6455.9</v>
      </c>
      <c r="H202" s="42">
        <v>6419.9</v>
      </c>
      <c r="I202" s="42">
        <v>6419.9</v>
      </c>
      <c r="J202" s="14">
        <v>281</v>
      </c>
      <c r="K202" s="44" t="s">
        <v>365</v>
      </c>
      <c r="L202" s="14" t="s">
        <v>366</v>
      </c>
      <c r="M202" s="14"/>
      <c r="N202" s="45"/>
      <c r="O202" s="29">
        <v>2377151.2400000002</v>
      </c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29">
        <v>124000</v>
      </c>
      <c r="AA202" s="29">
        <f t="shared" si="23"/>
        <v>2501151.2400000002</v>
      </c>
      <c r="AB202" s="29">
        <v>2501151.2400000002</v>
      </c>
      <c r="AC202" s="28"/>
      <c r="AD202" s="28"/>
      <c r="AE202" s="37"/>
      <c r="AF202" s="22">
        <v>2022</v>
      </c>
      <c r="AG202" s="22">
        <v>2022</v>
      </c>
    </row>
    <row r="203" spans="1:33" ht="84.9" customHeight="1" x14ac:dyDescent="0.45">
      <c r="A203" s="19">
        <v>440</v>
      </c>
      <c r="B203" s="14" t="s">
        <v>587</v>
      </c>
      <c r="C203" s="21" t="s">
        <v>323</v>
      </c>
      <c r="D203" s="14">
        <v>1971</v>
      </c>
      <c r="E203" s="14">
        <v>5</v>
      </c>
      <c r="F203" s="14">
        <v>7</v>
      </c>
      <c r="G203" s="42">
        <v>5039.2</v>
      </c>
      <c r="H203" s="42">
        <v>5039</v>
      </c>
      <c r="I203" s="42">
        <v>4999.3999999999996</v>
      </c>
      <c r="J203" s="14">
        <v>225</v>
      </c>
      <c r="K203" s="44" t="s">
        <v>365</v>
      </c>
      <c r="L203" s="14" t="s">
        <v>366</v>
      </c>
      <c r="M203" s="14"/>
      <c r="N203" s="45"/>
      <c r="O203" s="29">
        <v>2377151.2400000002</v>
      </c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29">
        <v>124000</v>
      </c>
      <c r="AA203" s="29">
        <f t="shared" si="23"/>
        <v>2501151.2400000002</v>
      </c>
      <c r="AB203" s="29">
        <v>2501151.2400000002</v>
      </c>
      <c r="AC203" s="28"/>
      <c r="AD203" s="28"/>
      <c r="AE203" s="37"/>
      <c r="AF203" s="22">
        <v>2022</v>
      </c>
      <c r="AG203" s="22">
        <v>2022</v>
      </c>
    </row>
    <row r="204" spans="1:33" ht="84.9" customHeight="1" x14ac:dyDescent="0.45">
      <c r="A204" s="19">
        <v>441</v>
      </c>
      <c r="B204" s="14" t="s">
        <v>587</v>
      </c>
      <c r="C204" s="21" t="s">
        <v>324</v>
      </c>
      <c r="D204" s="14" t="s">
        <v>384</v>
      </c>
      <c r="E204" s="14">
        <v>5</v>
      </c>
      <c r="F204" s="14">
        <v>8</v>
      </c>
      <c r="G204" s="42">
        <v>3207.2</v>
      </c>
      <c r="H204" s="42">
        <v>3206.6</v>
      </c>
      <c r="I204" s="42">
        <v>3073.1</v>
      </c>
      <c r="J204" s="14" t="s">
        <v>538</v>
      </c>
      <c r="K204" s="44" t="s">
        <v>365</v>
      </c>
      <c r="L204" s="14" t="s">
        <v>366</v>
      </c>
      <c r="M204" s="14"/>
      <c r="N204" s="45"/>
      <c r="O204" s="29">
        <v>2377151.2400000002</v>
      </c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29">
        <v>124000</v>
      </c>
      <c r="AA204" s="29">
        <f t="shared" si="23"/>
        <v>2501151.2400000002</v>
      </c>
      <c r="AB204" s="29">
        <v>2501151.2400000002</v>
      </c>
      <c r="AC204" s="28"/>
      <c r="AD204" s="28"/>
      <c r="AE204" s="37"/>
      <c r="AF204" s="22">
        <v>2022</v>
      </c>
      <c r="AG204" s="22">
        <v>2022</v>
      </c>
    </row>
    <row r="205" spans="1:33" ht="84.9" customHeight="1" x14ac:dyDescent="0.45">
      <c r="A205" s="19">
        <v>442</v>
      </c>
      <c r="B205" s="14" t="s">
        <v>587</v>
      </c>
      <c r="C205" s="21" t="s">
        <v>325</v>
      </c>
      <c r="D205" s="14">
        <v>1971</v>
      </c>
      <c r="E205" s="14">
        <v>5</v>
      </c>
      <c r="F205" s="14">
        <v>4</v>
      </c>
      <c r="G205" s="42">
        <v>3039.1</v>
      </c>
      <c r="H205" s="42">
        <v>3043.4</v>
      </c>
      <c r="I205" s="42">
        <v>2796.5</v>
      </c>
      <c r="J205" s="14">
        <v>125</v>
      </c>
      <c r="K205" s="44" t="s">
        <v>365</v>
      </c>
      <c r="L205" s="14" t="s">
        <v>366</v>
      </c>
      <c r="M205" s="14"/>
      <c r="N205" s="45"/>
      <c r="O205" s="29">
        <v>2377151.2400000002</v>
      </c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29">
        <v>124000</v>
      </c>
      <c r="AA205" s="29">
        <f t="shared" si="23"/>
        <v>2501151.2400000002</v>
      </c>
      <c r="AB205" s="29">
        <v>2501151.2400000002</v>
      </c>
      <c r="AC205" s="28"/>
      <c r="AD205" s="28"/>
      <c r="AE205" s="37"/>
      <c r="AF205" s="22">
        <v>2022</v>
      </c>
      <c r="AG205" s="22">
        <v>2022</v>
      </c>
    </row>
    <row r="206" spans="1:33" ht="84.9" customHeight="1" x14ac:dyDescent="0.45">
      <c r="A206" s="19">
        <v>443</v>
      </c>
      <c r="B206" s="14" t="s">
        <v>587</v>
      </c>
      <c r="C206" s="21" t="s">
        <v>326</v>
      </c>
      <c r="D206" s="14">
        <v>1971</v>
      </c>
      <c r="E206" s="14">
        <v>5</v>
      </c>
      <c r="F206" s="14">
        <v>4</v>
      </c>
      <c r="G206" s="42">
        <v>3349.8</v>
      </c>
      <c r="H206" s="42">
        <v>3348.1</v>
      </c>
      <c r="I206" s="42">
        <v>2799.8</v>
      </c>
      <c r="J206" s="14">
        <v>129</v>
      </c>
      <c r="K206" s="44" t="s">
        <v>365</v>
      </c>
      <c r="L206" s="14" t="s">
        <v>366</v>
      </c>
      <c r="M206" s="14"/>
      <c r="N206" s="45"/>
      <c r="O206" s="29">
        <v>2377151.2400000002</v>
      </c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29">
        <v>124000</v>
      </c>
      <c r="AA206" s="29">
        <f t="shared" si="23"/>
        <v>2501151.2400000002</v>
      </c>
      <c r="AB206" s="29">
        <v>2501151.2400000002</v>
      </c>
      <c r="AC206" s="28"/>
      <c r="AD206" s="28"/>
      <c r="AE206" s="37"/>
      <c r="AF206" s="22">
        <v>2022</v>
      </c>
      <c r="AG206" s="22">
        <v>2022</v>
      </c>
    </row>
    <row r="207" spans="1:33" ht="84.9" customHeight="1" x14ac:dyDescent="0.45">
      <c r="A207" s="19">
        <v>444</v>
      </c>
      <c r="B207" s="14" t="s">
        <v>587</v>
      </c>
      <c r="C207" s="21" t="s">
        <v>327</v>
      </c>
      <c r="D207" s="14">
        <v>1971</v>
      </c>
      <c r="E207" s="14">
        <v>5</v>
      </c>
      <c r="F207" s="14">
        <v>7</v>
      </c>
      <c r="G207" s="42">
        <v>5400.7</v>
      </c>
      <c r="H207" s="42">
        <v>5399.4</v>
      </c>
      <c r="I207" s="42">
        <v>4940.5</v>
      </c>
      <c r="J207" s="14">
        <v>99</v>
      </c>
      <c r="K207" s="44" t="s">
        <v>365</v>
      </c>
      <c r="L207" s="14" t="s">
        <v>366</v>
      </c>
      <c r="M207" s="14"/>
      <c r="N207" s="45"/>
      <c r="O207" s="29">
        <v>4754302.4800000004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9">
        <v>248000</v>
      </c>
      <c r="AA207" s="29">
        <f t="shared" si="23"/>
        <v>5002302.4800000004</v>
      </c>
      <c r="AB207" s="29">
        <f>AA207</f>
        <v>5002302.4800000004</v>
      </c>
      <c r="AC207" s="28"/>
      <c r="AD207" s="28"/>
      <c r="AE207" s="37"/>
      <c r="AF207" s="22">
        <v>2022</v>
      </c>
      <c r="AG207" s="22">
        <v>2022</v>
      </c>
    </row>
    <row r="208" spans="1:33" ht="84.9" customHeight="1" x14ac:dyDescent="0.45">
      <c r="A208" s="19">
        <v>445</v>
      </c>
      <c r="B208" s="14" t="s">
        <v>587</v>
      </c>
      <c r="C208" s="14" t="s">
        <v>539</v>
      </c>
      <c r="D208" s="14">
        <v>1971</v>
      </c>
      <c r="E208" s="14">
        <v>5</v>
      </c>
      <c r="F208" s="14">
        <v>4</v>
      </c>
      <c r="G208" s="42">
        <v>2745.7</v>
      </c>
      <c r="H208" s="42">
        <v>2728.5</v>
      </c>
      <c r="I208" s="42">
        <v>2716.1</v>
      </c>
      <c r="J208" s="14">
        <v>152</v>
      </c>
      <c r="K208" s="44" t="s">
        <v>365</v>
      </c>
      <c r="L208" s="14" t="s">
        <v>366</v>
      </c>
      <c r="M208" s="14"/>
      <c r="N208" s="45">
        <v>1706659.7</v>
      </c>
      <c r="O208" s="45">
        <v>9276640.5199999996</v>
      </c>
      <c r="P208" s="45">
        <v>1800681.76</v>
      </c>
      <c r="Q208" s="45">
        <f>ROUND(H208*643.1*1.015,2)</f>
        <v>1781018.83</v>
      </c>
      <c r="R208" s="45"/>
      <c r="S208" s="45">
        <v>1785034.5</v>
      </c>
      <c r="T208" s="45"/>
      <c r="U208" s="45"/>
      <c r="V208" s="45">
        <v>9740630.4000000004</v>
      </c>
      <c r="W208" s="45"/>
      <c r="X208" s="45"/>
      <c r="Y208" s="45"/>
      <c r="Z208" s="28">
        <v>1328755</v>
      </c>
      <c r="AA208" s="45">
        <f>SUM(N208+O208+P208+Q208+S208+V208+Z208)</f>
        <v>27419420.710000001</v>
      </c>
      <c r="AB208" s="28"/>
      <c r="AC208" s="28"/>
      <c r="AD208" s="28">
        <f>SUM(N208:Z208)</f>
        <v>27419420.710000001</v>
      </c>
      <c r="AE208" s="46"/>
      <c r="AF208" s="14" t="s">
        <v>507</v>
      </c>
      <c r="AG208" s="14" t="s">
        <v>471</v>
      </c>
    </row>
    <row r="209" spans="1:33" ht="84.9" customHeight="1" x14ac:dyDescent="0.45">
      <c r="A209" s="19">
        <v>446</v>
      </c>
      <c r="B209" s="19" t="s">
        <v>587</v>
      </c>
      <c r="C209" s="19" t="s">
        <v>540</v>
      </c>
      <c r="D209" s="19">
        <v>1966</v>
      </c>
      <c r="E209" s="19">
        <v>5</v>
      </c>
      <c r="F209" s="19">
        <v>2</v>
      </c>
      <c r="G209" s="23">
        <v>2155</v>
      </c>
      <c r="H209" s="23">
        <v>1976</v>
      </c>
      <c r="I209" s="23">
        <v>1643.3</v>
      </c>
      <c r="J209" s="19">
        <v>88</v>
      </c>
      <c r="K209" s="15" t="s">
        <v>365</v>
      </c>
      <c r="L209" s="19" t="s">
        <v>366</v>
      </c>
      <c r="M209" s="19"/>
      <c r="N209" s="28"/>
      <c r="O209" s="28"/>
      <c r="P209" s="28"/>
      <c r="Q209" s="28"/>
      <c r="R209" s="28"/>
      <c r="S209" s="28"/>
      <c r="T209" s="28"/>
      <c r="U209" s="28"/>
      <c r="V209" s="28">
        <v>8432162.1600000001</v>
      </c>
      <c r="W209" s="28"/>
      <c r="X209" s="28"/>
      <c r="Y209" s="28"/>
      <c r="Z209" s="28">
        <v>939358.67</v>
      </c>
      <c r="AA209" s="28">
        <f>SUM(V209+Z209)</f>
        <v>9371520.8300000001</v>
      </c>
      <c r="AB209" s="28"/>
      <c r="AC209" s="28"/>
      <c r="AD209" s="28">
        <f t="shared" si="22"/>
        <v>9371520.8300000001</v>
      </c>
      <c r="AE209" s="37"/>
      <c r="AF209" s="19">
        <v>2022</v>
      </c>
      <c r="AG209" s="19">
        <v>2023</v>
      </c>
    </row>
    <row r="210" spans="1:33" ht="84.9" customHeight="1" x14ac:dyDescent="0.45">
      <c r="A210" s="19">
        <v>447</v>
      </c>
      <c r="B210" s="14" t="s">
        <v>587</v>
      </c>
      <c r="C210" s="14" t="s">
        <v>541</v>
      </c>
      <c r="D210" s="14">
        <v>1950</v>
      </c>
      <c r="E210" s="14">
        <v>5</v>
      </c>
      <c r="F210" s="14">
        <v>4</v>
      </c>
      <c r="G210" s="42">
        <v>4034.6</v>
      </c>
      <c r="H210" s="42">
        <f>2715.8+991.6</f>
        <v>3707.4</v>
      </c>
      <c r="I210" s="42">
        <v>1736.2</v>
      </c>
      <c r="J210" s="14" t="s">
        <v>364</v>
      </c>
      <c r="K210" s="44" t="s">
        <v>365</v>
      </c>
      <c r="L210" s="14" t="s">
        <v>366</v>
      </c>
      <c r="M210" s="14"/>
      <c r="N210" s="45">
        <f>ROUND(H210*332.83*1.015,2)</f>
        <v>1252442.95</v>
      </c>
      <c r="O210" s="45">
        <f>ROUND(H210*2235.31*1.015,2)</f>
        <v>8411496.1199999992</v>
      </c>
      <c r="P210" s="45">
        <f>ROUND(H210*430.48*1.015,2)</f>
        <v>1619900.98</v>
      </c>
      <c r="Q210" s="45">
        <f>ROUND(H210*457.67*1.015,2)</f>
        <v>1722217.24</v>
      </c>
      <c r="R210" s="66">
        <f>ROUND(1197448.78*1.015,2)</f>
        <v>1215410.51</v>
      </c>
      <c r="S210" s="45">
        <f>ROUND(H210*467.73*1.015,2)</f>
        <v>1760073.14</v>
      </c>
      <c r="T210" s="45"/>
      <c r="U210" s="45"/>
      <c r="V210" s="45"/>
      <c r="W210" s="45"/>
      <c r="X210" s="45"/>
      <c r="Y210" s="45"/>
      <c r="Z210" s="45">
        <v>679427.78</v>
      </c>
      <c r="AA210" s="28">
        <f>SUM(N210+O210+P210+Q210+R210+S210+Z210)</f>
        <v>16660968.719999999</v>
      </c>
      <c r="AB210" s="28"/>
      <c r="AC210" s="28"/>
      <c r="AD210" s="28">
        <f>SUM(N210:Z210)</f>
        <v>16660968.719999999</v>
      </c>
      <c r="AE210" s="46"/>
      <c r="AF210" s="14">
        <v>2020</v>
      </c>
      <c r="AG210" s="14">
        <v>2022</v>
      </c>
    </row>
    <row r="211" spans="1:33" ht="84.9" customHeight="1" x14ac:dyDescent="0.45">
      <c r="A211" s="19">
        <v>448</v>
      </c>
      <c r="B211" s="14" t="s">
        <v>587</v>
      </c>
      <c r="C211" s="14" t="s">
        <v>542</v>
      </c>
      <c r="D211" s="19">
        <v>1962</v>
      </c>
      <c r="E211" s="19">
        <v>5</v>
      </c>
      <c r="F211" s="19">
        <v>3</v>
      </c>
      <c r="G211" s="23">
        <v>3099.1</v>
      </c>
      <c r="H211" s="23">
        <f>2523.4+338.1</f>
        <v>2861.5</v>
      </c>
      <c r="I211" s="23">
        <v>1777.3</v>
      </c>
      <c r="J211" s="19">
        <v>71</v>
      </c>
      <c r="K211" s="19" t="s">
        <v>365</v>
      </c>
      <c r="L211" s="14" t="s">
        <v>366</v>
      </c>
      <c r="M211" s="19"/>
      <c r="N211" s="45"/>
      <c r="O211" s="45"/>
      <c r="P211" s="45"/>
      <c r="Q211" s="45"/>
      <c r="R211" s="66"/>
      <c r="S211" s="45"/>
      <c r="T211" s="45"/>
      <c r="U211" s="45"/>
      <c r="V211" s="45">
        <v>6807443.0899999999</v>
      </c>
      <c r="W211" s="45"/>
      <c r="X211" s="45">
        <v>9207396.9000000004</v>
      </c>
      <c r="Y211" s="45"/>
      <c r="Z211" s="45">
        <v>1094734.04</v>
      </c>
      <c r="AA211" s="28">
        <f>SUM(V211+X211+Z211)</f>
        <v>17109574.030000001</v>
      </c>
      <c r="AB211" s="28"/>
      <c r="AC211" s="28"/>
      <c r="AD211" s="28">
        <f>SUM(V211:Z211)</f>
        <v>17109574.030000001</v>
      </c>
      <c r="AE211" s="46"/>
      <c r="AF211" s="14" t="s">
        <v>470</v>
      </c>
      <c r="AG211" s="14" t="s">
        <v>543</v>
      </c>
    </row>
    <row r="212" spans="1:33" ht="84.9" customHeight="1" x14ac:dyDescent="0.45">
      <c r="A212" s="19">
        <v>449</v>
      </c>
      <c r="B212" s="14" t="s">
        <v>587</v>
      </c>
      <c r="C212" s="47" t="s">
        <v>328</v>
      </c>
      <c r="D212" s="19">
        <v>1976</v>
      </c>
      <c r="E212" s="19">
        <v>9</v>
      </c>
      <c r="F212" s="19">
        <v>4</v>
      </c>
      <c r="G212" s="23">
        <v>8728.9</v>
      </c>
      <c r="H212" s="23">
        <v>8728.9</v>
      </c>
      <c r="I212" s="23">
        <v>8728.9</v>
      </c>
      <c r="J212" s="19">
        <v>301</v>
      </c>
      <c r="K212" s="19" t="s">
        <v>365</v>
      </c>
      <c r="L212" s="14" t="s">
        <v>366</v>
      </c>
      <c r="M212" s="27"/>
      <c r="N212" s="45"/>
      <c r="O212" s="45"/>
      <c r="P212" s="45"/>
      <c r="Q212" s="45"/>
      <c r="R212" s="66"/>
      <c r="S212" s="45"/>
      <c r="T212" s="45"/>
      <c r="U212" s="67">
        <v>7405663.1399999997</v>
      </c>
      <c r="V212" s="45"/>
      <c r="W212" s="45"/>
      <c r="X212" s="45"/>
      <c r="Y212" s="45"/>
      <c r="Z212" s="67">
        <v>303780.15999999997</v>
      </c>
      <c r="AA212" s="31">
        <f t="shared" ref="AA212:AA223" si="24">SUM(U212+Z212)</f>
        <v>7709443.2999999998</v>
      </c>
      <c r="AB212" s="28"/>
      <c r="AC212" s="28"/>
      <c r="AD212" s="31">
        <f t="shared" ref="AD212:AD223" si="25">AA212</f>
        <v>7709443.2999999998</v>
      </c>
      <c r="AE212" s="46"/>
      <c r="AF212" s="47">
        <v>2022</v>
      </c>
      <c r="AG212" s="47">
        <v>2022</v>
      </c>
    </row>
    <row r="213" spans="1:33" ht="84.9" customHeight="1" x14ac:dyDescent="0.45">
      <c r="A213" s="19">
        <v>450</v>
      </c>
      <c r="B213" s="14" t="s">
        <v>587</v>
      </c>
      <c r="C213" s="47" t="s">
        <v>329</v>
      </c>
      <c r="D213" s="19">
        <v>1975</v>
      </c>
      <c r="E213" s="19">
        <v>9</v>
      </c>
      <c r="F213" s="19">
        <v>2</v>
      </c>
      <c r="G213" s="23">
        <v>4531</v>
      </c>
      <c r="H213" s="23">
        <v>4531</v>
      </c>
      <c r="I213" s="23">
        <v>4531</v>
      </c>
      <c r="J213" s="19">
        <v>166</v>
      </c>
      <c r="K213" s="19" t="s">
        <v>365</v>
      </c>
      <c r="L213" s="14" t="s">
        <v>366</v>
      </c>
      <c r="M213" s="27"/>
      <c r="N213" s="45"/>
      <c r="O213" s="45"/>
      <c r="P213" s="45"/>
      <c r="Q213" s="45"/>
      <c r="R213" s="66"/>
      <c r="S213" s="45"/>
      <c r="T213" s="45"/>
      <c r="U213" s="67">
        <v>3702831.57</v>
      </c>
      <c r="V213" s="45"/>
      <c r="W213" s="45"/>
      <c r="X213" s="45"/>
      <c r="Y213" s="45"/>
      <c r="Z213" s="67">
        <v>151890.07999999999</v>
      </c>
      <c r="AA213" s="31">
        <f t="shared" si="24"/>
        <v>3854721.65</v>
      </c>
      <c r="AB213" s="28"/>
      <c r="AC213" s="28"/>
      <c r="AD213" s="31">
        <f t="shared" si="25"/>
        <v>3854721.65</v>
      </c>
      <c r="AE213" s="46"/>
      <c r="AF213" s="47">
        <v>2022</v>
      </c>
      <c r="AG213" s="47">
        <v>2022</v>
      </c>
    </row>
    <row r="214" spans="1:33" ht="84.9" customHeight="1" x14ac:dyDescent="0.45">
      <c r="A214" s="19">
        <v>451</v>
      </c>
      <c r="B214" s="14" t="s">
        <v>587</v>
      </c>
      <c r="C214" s="47" t="s">
        <v>330</v>
      </c>
      <c r="D214" s="19">
        <v>1977</v>
      </c>
      <c r="E214" s="19">
        <v>9</v>
      </c>
      <c r="F214" s="19">
        <v>1</v>
      </c>
      <c r="G214" s="23">
        <v>3551.7</v>
      </c>
      <c r="H214" s="23">
        <v>3551.7</v>
      </c>
      <c r="I214" s="23">
        <v>3551.7</v>
      </c>
      <c r="J214" s="19">
        <v>112</v>
      </c>
      <c r="K214" s="19" t="s">
        <v>365</v>
      </c>
      <c r="L214" s="14" t="s">
        <v>366</v>
      </c>
      <c r="M214" s="27"/>
      <c r="N214" s="45"/>
      <c r="O214" s="45"/>
      <c r="P214" s="45"/>
      <c r="Q214" s="45"/>
      <c r="R214" s="66"/>
      <c r="S214" s="45"/>
      <c r="T214" s="45"/>
      <c r="U214" s="67">
        <v>1851415.78</v>
      </c>
      <c r="V214" s="45"/>
      <c r="W214" s="45"/>
      <c r="X214" s="45"/>
      <c r="Y214" s="45"/>
      <c r="Z214" s="67">
        <v>75945.039999999994</v>
      </c>
      <c r="AA214" s="31">
        <f t="shared" si="24"/>
        <v>1927360.82</v>
      </c>
      <c r="AB214" s="28"/>
      <c r="AC214" s="28"/>
      <c r="AD214" s="31">
        <f t="shared" si="25"/>
        <v>1927360.82</v>
      </c>
      <c r="AE214" s="46"/>
      <c r="AF214" s="47">
        <v>2022</v>
      </c>
      <c r="AG214" s="47">
        <v>2022</v>
      </c>
    </row>
    <row r="215" spans="1:33" ht="84.9" customHeight="1" x14ac:dyDescent="0.45">
      <c r="A215" s="19">
        <v>452</v>
      </c>
      <c r="B215" s="14" t="s">
        <v>587</v>
      </c>
      <c r="C215" s="47" t="s">
        <v>331</v>
      </c>
      <c r="D215" s="19">
        <v>1976</v>
      </c>
      <c r="E215" s="19">
        <v>9</v>
      </c>
      <c r="F215" s="19">
        <v>6</v>
      </c>
      <c r="G215" s="23">
        <v>13115.9</v>
      </c>
      <c r="H215" s="23">
        <v>13115.9</v>
      </c>
      <c r="I215" s="23">
        <v>13115.9</v>
      </c>
      <c r="J215" s="19">
        <v>506</v>
      </c>
      <c r="K215" s="19" t="s">
        <v>365</v>
      </c>
      <c r="L215" s="14" t="s">
        <v>366</v>
      </c>
      <c r="M215" s="27"/>
      <c r="N215" s="45"/>
      <c r="O215" s="45"/>
      <c r="P215" s="45"/>
      <c r="Q215" s="45"/>
      <c r="R215" s="66"/>
      <c r="S215" s="45"/>
      <c r="T215" s="45"/>
      <c r="U215" s="67">
        <v>11108494.710000001</v>
      </c>
      <c r="V215" s="45"/>
      <c r="W215" s="45"/>
      <c r="X215" s="45"/>
      <c r="Y215" s="45"/>
      <c r="Z215" s="67">
        <v>455670.24</v>
      </c>
      <c r="AA215" s="31">
        <f t="shared" si="24"/>
        <v>11564164.950000001</v>
      </c>
      <c r="AB215" s="28"/>
      <c r="AC215" s="28"/>
      <c r="AD215" s="31">
        <f t="shared" si="25"/>
        <v>11564164.950000001</v>
      </c>
      <c r="AE215" s="46"/>
      <c r="AF215" s="47">
        <v>2022</v>
      </c>
      <c r="AG215" s="47">
        <v>2022</v>
      </c>
    </row>
    <row r="216" spans="1:33" ht="84.9" customHeight="1" x14ac:dyDescent="0.45">
      <c r="A216" s="19">
        <v>453</v>
      </c>
      <c r="B216" s="14" t="s">
        <v>587</v>
      </c>
      <c r="C216" s="21" t="s">
        <v>332</v>
      </c>
      <c r="D216" s="19">
        <v>1966</v>
      </c>
      <c r="E216" s="19">
        <v>5</v>
      </c>
      <c r="F216" s="19">
        <v>4</v>
      </c>
      <c r="G216" s="23">
        <v>3027.4</v>
      </c>
      <c r="H216" s="23">
        <v>2719.1</v>
      </c>
      <c r="I216" s="23">
        <v>2719.1</v>
      </c>
      <c r="J216" s="19">
        <v>137</v>
      </c>
      <c r="K216" s="19" t="s">
        <v>365</v>
      </c>
      <c r="L216" s="14" t="s">
        <v>366</v>
      </c>
      <c r="M216" s="27"/>
      <c r="N216" s="45"/>
      <c r="O216" s="29">
        <v>2377151.2400000002</v>
      </c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29">
        <v>124000</v>
      </c>
      <c r="AA216" s="29">
        <f t="shared" ref="AA216:AA218" si="26">SUM(O216+Z216)</f>
        <v>2501151.2400000002</v>
      </c>
      <c r="AB216" s="29">
        <v>2501151.2400000002</v>
      </c>
      <c r="AC216" s="28"/>
      <c r="AD216" s="28"/>
      <c r="AE216" s="37"/>
      <c r="AF216" s="22">
        <v>2022</v>
      </c>
      <c r="AG216" s="22">
        <v>2022</v>
      </c>
    </row>
    <row r="217" spans="1:33" ht="84.9" customHeight="1" x14ac:dyDescent="0.45">
      <c r="A217" s="19">
        <v>454</v>
      </c>
      <c r="B217" s="14" t="s">
        <v>587</v>
      </c>
      <c r="C217" s="21" t="s">
        <v>333</v>
      </c>
      <c r="D217" s="19">
        <v>1966</v>
      </c>
      <c r="E217" s="19">
        <v>5</v>
      </c>
      <c r="F217" s="19">
        <v>4</v>
      </c>
      <c r="G217" s="23">
        <v>2730.5</v>
      </c>
      <c r="H217" s="23">
        <v>2730.6</v>
      </c>
      <c r="I217" s="23">
        <v>2730.6</v>
      </c>
      <c r="J217" s="19">
        <v>126</v>
      </c>
      <c r="K217" s="19" t="s">
        <v>365</v>
      </c>
      <c r="L217" s="14" t="s">
        <v>366</v>
      </c>
      <c r="M217" s="27"/>
      <c r="N217" s="45"/>
      <c r="O217" s="29">
        <v>2377151.2400000002</v>
      </c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29">
        <v>124000</v>
      </c>
      <c r="AA217" s="29">
        <f t="shared" si="26"/>
        <v>2501151.2400000002</v>
      </c>
      <c r="AB217" s="29">
        <v>2501151.2400000002</v>
      </c>
      <c r="AC217" s="28"/>
      <c r="AD217" s="28"/>
      <c r="AE217" s="37"/>
      <c r="AF217" s="22">
        <v>2022</v>
      </c>
      <c r="AG217" s="22">
        <v>2022</v>
      </c>
    </row>
    <row r="218" spans="1:33" ht="84.9" customHeight="1" x14ac:dyDescent="0.45">
      <c r="A218" s="19">
        <v>455</v>
      </c>
      <c r="B218" s="14" t="s">
        <v>587</v>
      </c>
      <c r="C218" s="21" t="s">
        <v>334</v>
      </c>
      <c r="D218" s="19">
        <v>1966</v>
      </c>
      <c r="E218" s="19">
        <v>5</v>
      </c>
      <c r="F218" s="19">
        <v>4</v>
      </c>
      <c r="G218" s="23">
        <v>2719.5</v>
      </c>
      <c r="H218" s="23">
        <v>2719.3</v>
      </c>
      <c r="I218" s="23">
        <v>2719.3</v>
      </c>
      <c r="J218" s="19">
        <v>133</v>
      </c>
      <c r="K218" s="19" t="s">
        <v>365</v>
      </c>
      <c r="L218" s="14" t="s">
        <v>366</v>
      </c>
      <c r="M218" s="27"/>
      <c r="N218" s="45"/>
      <c r="O218" s="29">
        <v>2377151.2400000002</v>
      </c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29">
        <v>124000</v>
      </c>
      <c r="AA218" s="29">
        <f t="shared" si="26"/>
        <v>2501151.2400000002</v>
      </c>
      <c r="AB218" s="29">
        <v>2501151.2400000002</v>
      </c>
      <c r="AC218" s="28"/>
      <c r="AD218" s="28"/>
      <c r="AE218" s="37"/>
      <c r="AF218" s="22">
        <v>2022</v>
      </c>
      <c r="AG218" s="22">
        <v>2022</v>
      </c>
    </row>
    <row r="219" spans="1:33" ht="84.9" customHeight="1" x14ac:dyDescent="0.45">
      <c r="A219" s="19">
        <v>456</v>
      </c>
      <c r="B219" s="14" t="s">
        <v>587</v>
      </c>
      <c r="C219" s="47" t="s">
        <v>335</v>
      </c>
      <c r="D219" s="19">
        <v>1977</v>
      </c>
      <c r="E219" s="19">
        <v>9</v>
      </c>
      <c r="F219" s="19">
        <v>1</v>
      </c>
      <c r="G219" s="23">
        <v>2739.44</v>
      </c>
      <c r="H219" s="23">
        <v>2739.44</v>
      </c>
      <c r="I219" s="23">
        <v>2739.44</v>
      </c>
      <c r="J219" s="19">
        <v>105</v>
      </c>
      <c r="K219" s="19" t="s">
        <v>365</v>
      </c>
      <c r="L219" s="14" t="s">
        <v>366</v>
      </c>
      <c r="M219" s="27"/>
      <c r="N219" s="45"/>
      <c r="O219" s="45"/>
      <c r="P219" s="45"/>
      <c r="Q219" s="45"/>
      <c r="R219" s="66"/>
      <c r="S219" s="45"/>
      <c r="T219" s="45"/>
      <c r="U219" s="67">
        <v>1851415.78</v>
      </c>
      <c r="V219" s="45"/>
      <c r="W219" s="45"/>
      <c r="X219" s="45"/>
      <c r="Y219" s="45"/>
      <c r="Z219" s="67">
        <v>75945.039999999994</v>
      </c>
      <c r="AA219" s="31">
        <f t="shared" si="24"/>
        <v>1927360.82</v>
      </c>
      <c r="AB219" s="28"/>
      <c r="AC219" s="28"/>
      <c r="AD219" s="31">
        <f t="shared" si="25"/>
        <v>1927360.82</v>
      </c>
      <c r="AE219" s="46"/>
      <c r="AF219" s="47">
        <v>2022</v>
      </c>
      <c r="AG219" s="47">
        <v>2022</v>
      </c>
    </row>
    <row r="220" spans="1:33" ht="84.9" customHeight="1" x14ac:dyDescent="0.45">
      <c r="A220" s="19">
        <v>457</v>
      </c>
      <c r="B220" s="14" t="s">
        <v>587</v>
      </c>
      <c r="C220" s="47" t="s">
        <v>336</v>
      </c>
      <c r="D220" s="19">
        <v>1977</v>
      </c>
      <c r="E220" s="19">
        <v>9</v>
      </c>
      <c r="F220" s="19">
        <v>2</v>
      </c>
      <c r="G220" s="23">
        <v>4529.1000000000004</v>
      </c>
      <c r="H220" s="23">
        <v>4529.1000000000004</v>
      </c>
      <c r="I220" s="23">
        <v>4529.1000000000004</v>
      </c>
      <c r="J220" s="19">
        <v>166</v>
      </c>
      <c r="K220" s="19" t="s">
        <v>365</v>
      </c>
      <c r="L220" s="14" t="s">
        <v>366</v>
      </c>
      <c r="M220" s="27"/>
      <c r="N220" s="45"/>
      <c r="O220" s="45"/>
      <c r="P220" s="45"/>
      <c r="Q220" s="45"/>
      <c r="R220" s="66"/>
      <c r="S220" s="45"/>
      <c r="T220" s="45"/>
      <c r="U220" s="67">
        <v>3702831.57</v>
      </c>
      <c r="V220" s="45"/>
      <c r="W220" s="45"/>
      <c r="X220" s="45"/>
      <c r="Y220" s="45"/>
      <c r="Z220" s="67">
        <v>151890.07999999999</v>
      </c>
      <c r="AA220" s="31">
        <f t="shared" si="24"/>
        <v>3854721.65</v>
      </c>
      <c r="AB220" s="28"/>
      <c r="AC220" s="28"/>
      <c r="AD220" s="31">
        <f t="shared" si="25"/>
        <v>3854721.65</v>
      </c>
      <c r="AE220" s="46"/>
      <c r="AF220" s="47">
        <v>2022</v>
      </c>
      <c r="AG220" s="47">
        <v>2022</v>
      </c>
    </row>
    <row r="221" spans="1:33" ht="84.9" customHeight="1" x14ac:dyDescent="0.45">
      <c r="A221" s="19">
        <v>458</v>
      </c>
      <c r="B221" s="14" t="s">
        <v>587</v>
      </c>
      <c r="C221" s="47" t="s">
        <v>337</v>
      </c>
      <c r="D221" s="19">
        <v>1976</v>
      </c>
      <c r="E221" s="19">
        <v>9</v>
      </c>
      <c r="F221" s="19">
        <v>4</v>
      </c>
      <c r="G221" s="23">
        <v>8913</v>
      </c>
      <c r="H221" s="23">
        <v>8913</v>
      </c>
      <c r="I221" s="23">
        <v>8913</v>
      </c>
      <c r="J221" s="19">
        <v>331</v>
      </c>
      <c r="K221" s="19" t="s">
        <v>365</v>
      </c>
      <c r="L221" s="14" t="s">
        <v>366</v>
      </c>
      <c r="M221" s="27"/>
      <c r="N221" s="45"/>
      <c r="O221" s="45"/>
      <c r="P221" s="45"/>
      <c r="Q221" s="45"/>
      <c r="R221" s="66"/>
      <c r="S221" s="45"/>
      <c r="T221" s="45"/>
      <c r="U221" s="67">
        <v>7405663.1399999997</v>
      </c>
      <c r="V221" s="45"/>
      <c r="W221" s="45"/>
      <c r="X221" s="45"/>
      <c r="Y221" s="45"/>
      <c r="Z221" s="67">
        <v>303780.15999999997</v>
      </c>
      <c r="AA221" s="31">
        <f t="shared" si="24"/>
        <v>7709443.2999999998</v>
      </c>
      <c r="AB221" s="28"/>
      <c r="AC221" s="28"/>
      <c r="AD221" s="31">
        <f t="shared" si="25"/>
        <v>7709443.2999999998</v>
      </c>
      <c r="AE221" s="46"/>
      <c r="AF221" s="47">
        <v>2022</v>
      </c>
      <c r="AG221" s="47">
        <v>2022</v>
      </c>
    </row>
    <row r="222" spans="1:33" ht="84.9" customHeight="1" x14ac:dyDescent="0.45">
      <c r="A222" s="19">
        <v>459</v>
      </c>
      <c r="B222" s="14" t="s">
        <v>587</v>
      </c>
      <c r="C222" s="47" t="s">
        <v>338</v>
      </c>
      <c r="D222" s="19">
        <v>1976</v>
      </c>
      <c r="E222" s="19">
        <v>9</v>
      </c>
      <c r="F222" s="19">
        <v>6</v>
      </c>
      <c r="G222" s="23">
        <v>3099.1</v>
      </c>
      <c r="H222" s="23">
        <v>13691.3</v>
      </c>
      <c r="I222" s="23">
        <v>13691.3</v>
      </c>
      <c r="J222" s="19">
        <v>524</v>
      </c>
      <c r="K222" s="19" t="s">
        <v>365</v>
      </c>
      <c r="L222" s="14" t="s">
        <v>366</v>
      </c>
      <c r="M222" s="27"/>
      <c r="N222" s="45"/>
      <c r="O222" s="45"/>
      <c r="P222" s="45"/>
      <c r="Q222" s="45"/>
      <c r="R222" s="66"/>
      <c r="S222" s="45"/>
      <c r="T222" s="45"/>
      <c r="U222" s="67">
        <v>9257078.9199999999</v>
      </c>
      <c r="V222" s="45"/>
      <c r="W222" s="45"/>
      <c r="X222" s="45"/>
      <c r="Y222" s="45"/>
      <c r="Z222" s="67">
        <v>379725.2</v>
      </c>
      <c r="AA222" s="31">
        <f t="shared" si="24"/>
        <v>9636804.1199999992</v>
      </c>
      <c r="AB222" s="28"/>
      <c r="AC222" s="28"/>
      <c r="AD222" s="31">
        <f t="shared" si="25"/>
        <v>9636804.1199999992</v>
      </c>
      <c r="AE222" s="46"/>
      <c r="AF222" s="47">
        <v>2022</v>
      </c>
      <c r="AG222" s="47">
        <v>2022</v>
      </c>
    </row>
    <row r="223" spans="1:33" ht="84.9" customHeight="1" x14ac:dyDescent="0.45">
      <c r="A223" s="19">
        <v>460</v>
      </c>
      <c r="B223" s="14" t="s">
        <v>587</v>
      </c>
      <c r="C223" s="47" t="s">
        <v>339</v>
      </c>
      <c r="D223" s="19">
        <v>1977</v>
      </c>
      <c r="E223" s="19">
        <v>9</v>
      </c>
      <c r="F223" s="19">
        <v>1</v>
      </c>
      <c r="G223" s="23">
        <v>1855</v>
      </c>
      <c r="H223" s="23">
        <v>1855</v>
      </c>
      <c r="I223" s="23">
        <v>1855</v>
      </c>
      <c r="J223" s="19">
        <v>75</v>
      </c>
      <c r="K223" s="19" t="s">
        <v>365</v>
      </c>
      <c r="L223" s="14" t="s">
        <v>366</v>
      </c>
      <c r="M223" s="19"/>
      <c r="N223" s="28"/>
      <c r="O223" s="28"/>
      <c r="P223" s="28"/>
      <c r="Q223" s="28"/>
      <c r="R223" s="68"/>
      <c r="S223" s="28"/>
      <c r="T223" s="28"/>
      <c r="U223" s="31">
        <v>1851415.78</v>
      </c>
      <c r="V223" s="45"/>
      <c r="W223" s="45"/>
      <c r="X223" s="45"/>
      <c r="Y223" s="45"/>
      <c r="Z223" s="67">
        <v>75945.039999999994</v>
      </c>
      <c r="AA223" s="31">
        <f t="shared" si="24"/>
        <v>1927360.82</v>
      </c>
      <c r="AB223" s="28"/>
      <c r="AC223" s="28"/>
      <c r="AD223" s="31">
        <f t="shared" si="25"/>
        <v>1927360.82</v>
      </c>
      <c r="AE223" s="46"/>
      <c r="AF223" s="47">
        <v>2022</v>
      </c>
      <c r="AG223" s="47">
        <v>2022</v>
      </c>
    </row>
    <row r="224" spans="1:33" ht="84.9" customHeight="1" x14ac:dyDescent="0.45">
      <c r="A224" s="352" t="s">
        <v>544</v>
      </c>
      <c r="B224" s="353"/>
      <c r="C224" s="353"/>
      <c r="D224" s="353"/>
      <c r="E224" s="353"/>
      <c r="F224" s="353"/>
      <c r="G224" s="353"/>
      <c r="H224" s="353"/>
      <c r="I224" s="353"/>
      <c r="J224" s="353"/>
      <c r="K224" s="353"/>
      <c r="L224" s="353"/>
      <c r="M224" s="354"/>
      <c r="N224" s="28">
        <f t="shared" ref="N224:AB224" si="27">SUM(N17:N223)</f>
        <v>10735303.509999998</v>
      </c>
      <c r="O224" s="28">
        <f t="shared" si="27"/>
        <v>400959001.96000046</v>
      </c>
      <c r="P224" s="28">
        <f t="shared" si="27"/>
        <v>15207952.59</v>
      </c>
      <c r="Q224" s="28">
        <f t="shared" si="27"/>
        <v>15510208.1</v>
      </c>
      <c r="R224" s="28">
        <f t="shared" si="27"/>
        <v>3646231.5317000002</v>
      </c>
      <c r="S224" s="28">
        <f t="shared" si="27"/>
        <v>17358937.379999999</v>
      </c>
      <c r="T224" s="28">
        <f t="shared" si="27"/>
        <v>1787495.94</v>
      </c>
      <c r="U224" s="28">
        <f t="shared" si="27"/>
        <v>268455288.69999981</v>
      </c>
      <c r="V224" s="28">
        <f t="shared" si="27"/>
        <v>442919853.99999988</v>
      </c>
      <c r="W224" s="28">
        <f t="shared" si="27"/>
        <v>15386482.16433</v>
      </c>
      <c r="X224" s="28">
        <f t="shared" si="27"/>
        <v>92240899.62698999</v>
      </c>
      <c r="Y224" s="28">
        <f t="shared" si="27"/>
        <v>14186414.352429999</v>
      </c>
      <c r="Z224" s="28">
        <f t="shared" si="27"/>
        <v>60629422.829999968</v>
      </c>
      <c r="AA224" s="28">
        <f t="shared" si="27"/>
        <v>1359023492.6854508</v>
      </c>
      <c r="AB224" s="28">
        <f t="shared" si="27"/>
        <v>349008823.15000033</v>
      </c>
      <c r="AC224" s="28"/>
      <c r="AD224" s="28">
        <f t="shared" ref="AD224" si="28">SUM(AD17:AD223)</f>
        <v>1010014669.8354502</v>
      </c>
      <c r="AE224" s="28"/>
      <c r="AF224" s="72"/>
      <c r="AG224" s="72"/>
    </row>
    <row r="225" spans="1:34" ht="52.5" customHeight="1" x14ac:dyDescent="0.4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73"/>
      <c r="AG225" s="73"/>
    </row>
    <row r="226" spans="1:34" s="3" customFormat="1" ht="60" customHeight="1" x14ac:dyDescent="1.35">
      <c r="A226" s="48" t="s">
        <v>546</v>
      </c>
      <c r="B226" s="48"/>
      <c r="C226" s="48"/>
      <c r="D226" s="49"/>
      <c r="E226" s="49"/>
      <c r="F226" s="49"/>
      <c r="G226" s="49"/>
      <c r="H226" s="49"/>
      <c r="I226" s="49"/>
      <c r="J226" s="49"/>
      <c r="K226" s="54"/>
      <c r="L226" s="49"/>
      <c r="M226" s="48"/>
      <c r="N226" s="55"/>
      <c r="O226" s="55"/>
      <c r="P226" s="55"/>
      <c r="Q226" s="55"/>
      <c r="R226" s="55"/>
      <c r="S226" s="55"/>
      <c r="T226" s="55"/>
      <c r="U226" s="69"/>
      <c r="V226" s="55"/>
      <c r="W226" s="55"/>
      <c r="X226" s="55"/>
      <c r="Y226" s="55"/>
      <c r="Z226" s="55"/>
      <c r="AA226" s="55"/>
      <c r="AB226" s="55"/>
      <c r="AC226" s="55"/>
      <c r="AD226" s="55"/>
      <c r="AE226" s="48"/>
      <c r="AF226" s="48"/>
      <c r="AG226" s="48"/>
    </row>
    <row r="227" spans="1:34" s="3" customFormat="1" ht="60" customHeight="1" x14ac:dyDescent="1.35">
      <c r="A227" s="4" t="s">
        <v>547</v>
      </c>
      <c r="B227" s="4"/>
      <c r="C227" s="4"/>
      <c r="D227" s="49"/>
      <c r="E227" s="49"/>
      <c r="F227" s="49"/>
      <c r="G227" s="49"/>
      <c r="H227" s="49"/>
      <c r="I227" s="49"/>
      <c r="J227" s="52"/>
      <c r="K227" s="56"/>
      <c r="L227" s="52"/>
      <c r="N227" s="57"/>
      <c r="O227" s="57"/>
      <c r="P227" s="57"/>
      <c r="Q227" s="57"/>
      <c r="R227" s="57"/>
      <c r="S227" s="57"/>
      <c r="T227" s="57"/>
      <c r="U227" s="70"/>
      <c r="V227" s="57"/>
      <c r="W227" s="57"/>
      <c r="X227" s="57"/>
      <c r="Y227" s="57"/>
      <c r="Z227" s="55"/>
      <c r="AA227" s="55"/>
      <c r="AB227" s="55"/>
      <c r="AC227" s="55"/>
      <c r="AD227" s="55"/>
      <c r="AE227" s="48"/>
      <c r="AF227" s="48"/>
      <c r="AG227" s="48"/>
    </row>
    <row r="228" spans="1:34" s="3" customFormat="1" ht="60" customHeight="1" x14ac:dyDescent="1.35">
      <c r="A228" s="48" t="s">
        <v>548</v>
      </c>
      <c r="B228" s="48"/>
      <c r="C228" s="48"/>
      <c r="D228" s="49"/>
      <c r="E228" s="49"/>
      <c r="F228" s="49"/>
      <c r="G228" s="49"/>
      <c r="H228" s="49"/>
      <c r="I228" s="49"/>
      <c r="J228" s="49"/>
      <c r="K228" s="49"/>
      <c r="L228" s="49"/>
      <c r="M228" s="48"/>
      <c r="N228" s="55"/>
      <c r="O228" s="55"/>
      <c r="P228" s="55"/>
      <c r="Q228" s="55"/>
      <c r="R228" s="55"/>
      <c r="S228" s="57"/>
      <c r="T228" s="57"/>
      <c r="U228" s="70"/>
      <c r="V228" s="57"/>
      <c r="W228" s="57"/>
      <c r="X228" s="57"/>
      <c r="Y228" s="57"/>
      <c r="Z228" s="55"/>
      <c r="AA228" s="55"/>
      <c r="AB228" s="55"/>
      <c r="AC228" s="55"/>
      <c r="AD228" s="55"/>
      <c r="AE228" s="48"/>
      <c r="AF228" s="48"/>
      <c r="AG228" s="48"/>
    </row>
    <row r="229" spans="1:34" s="3" customFormat="1" ht="60" customHeight="1" x14ac:dyDescent="1.35">
      <c r="A229" s="48" t="s">
        <v>549</v>
      </c>
      <c r="B229" s="48"/>
      <c r="C229" s="48"/>
      <c r="D229" s="49"/>
      <c r="E229" s="49"/>
      <c r="F229" s="49"/>
      <c r="G229" s="49"/>
      <c r="H229" s="49"/>
      <c r="I229" s="49"/>
      <c r="J229" s="49"/>
      <c r="K229" s="49"/>
      <c r="L229" s="49"/>
      <c r="M229" s="48"/>
      <c r="N229" s="55"/>
      <c r="O229" s="55"/>
      <c r="P229" s="55"/>
      <c r="Q229" s="55"/>
      <c r="R229" s="55"/>
      <c r="S229" s="57"/>
      <c r="T229" s="57"/>
      <c r="U229" s="70"/>
      <c r="V229" s="57"/>
      <c r="W229" s="57"/>
      <c r="X229" s="57"/>
      <c r="Y229" s="57"/>
      <c r="Z229" s="55"/>
      <c r="AA229" s="55"/>
      <c r="AB229" s="55"/>
      <c r="AC229" s="55"/>
      <c r="AD229" s="55"/>
      <c r="AE229" s="48"/>
      <c r="AF229" s="48"/>
      <c r="AG229" s="48"/>
    </row>
    <row r="230" spans="1:34" s="3" customFormat="1" ht="60" customHeight="1" x14ac:dyDescent="1.35">
      <c r="A230" s="4" t="s">
        <v>550</v>
      </c>
      <c r="B230" s="4"/>
      <c r="C230" s="4"/>
      <c r="D230" s="49"/>
      <c r="E230" s="49"/>
      <c r="F230" s="49"/>
      <c r="G230" s="49"/>
      <c r="H230" s="49"/>
      <c r="I230" s="49"/>
      <c r="J230" s="52"/>
      <c r="K230" s="56"/>
      <c r="L230" s="52"/>
      <c r="N230" s="57"/>
      <c r="O230" s="57"/>
      <c r="P230" s="57"/>
      <c r="Q230" s="57"/>
      <c r="R230" s="57"/>
      <c r="S230" s="57"/>
      <c r="T230" s="57"/>
      <c r="U230" s="70"/>
      <c r="V230" s="57"/>
      <c r="W230" s="57"/>
      <c r="X230" s="57"/>
      <c r="Y230" s="57"/>
      <c r="Z230" s="55"/>
      <c r="AA230" s="55"/>
      <c r="AB230" s="55"/>
      <c r="AC230" s="55"/>
      <c r="AD230" s="55"/>
      <c r="AE230" s="48"/>
      <c r="AF230" s="48"/>
      <c r="AG230" s="48"/>
    </row>
    <row r="231" spans="1:34" s="3" customFormat="1" ht="60" customHeight="1" x14ac:dyDescent="1.35">
      <c r="A231" s="48" t="s">
        <v>551</v>
      </c>
      <c r="B231" s="48"/>
      <c r="C231" s="48"/>
      <c r="D231" s="49"/>
      <c r="E231" s="49"/>
      <c r="F231" s="49"/>
      <c r="G231" s="49"/>
      <c r="H231" s="49"/>
      <c r="I231" s="49"/>
      <c r="J231" s="52"/>
      <c r="K231" s="56"/>
      <c r="L231" s="52"/>
      <c r="M231" s="58"/>
      <c r="N231" s="59"/>
      <c r="O231" s="59"/>
      <c r="P231" s="59"/>
      <c r="Q231" s="59"/>
      <c r="R231" s="59"/>
      <c r="S231" s="59"/>
      <c r="T231" s="59"/>
      <c r="U231" s="70"/>
      <c r="V231" s="57"/>
      <c r="W231" s="57"/>
      <c r="X231" s="57"/>
      <c r="Y231" s="57"/>
      <c r="Z231" s="60"/>
      <c r="AA231" s="60"/>
      <c r="AB231" s="60"/>
      <c r="AC231" s="60"/>
      <c r="AD231" s="60"/>
      <c r="AE231" s="4"/>
      <c r="AF231" s="4"/>
      <c r="AG231" s="4"/>
    </row>
    <row r="232" spans="1:34" s="3" customFormat="1" ht="60" customHeight="1" x14ac:dyDescent="1.35">
      <c r="A232" s="4" t="s">
        <v>552</v>
      </c>
      <c r="B232" s="4"/>
      <c r="C232" s="4"/>
      <c r="D232" s="49"/>
      <c r="E232" s="49"/>
      <c r="F232" s="49"/>
      <c r="G232" s="49"/>
      <c r="H232" s="49"/>
      <c r="I232" s="49"/>
      <c r="J232" s="49"/>
      <c r="K232" s="56"/>
      <c r="L232" s="52"/>
      <c r="N232" s="57"/>
      <c r="O232" s="57"/>
      <c r="P232" s="57"/>
      <c r="Q232" s="57"/>
      <c r="R232" s="57"/>
      <c r="S232" s="57"/>
      <c r="T232" s="57"/>
      <c r="U232" s="70"/>
      <c r="V232" s="57"/>
      <c r="W232" s="57"/>
      <c r="X232" s="57"/>
      <c r="Y232" s="57"/>
      <c r="Z232" s="60"/>
      <c r="AA232" s="60"/>
      <c r="AB232" s="60"/>
      <c r="AC232" s="60"/>
      <c r="AD232" s="60"/>
      <c r="AE232" s="4"/>
      <c r="AF232" s="4"/>
      <c r="AG232" s="4"/>
    </row>
    <row r="233" spans="1:34" s="3" customFormat="1" ht="60" customHeight="1" x14ac:dyDescent="1.35">
      <c r="A233" s="48" t="s">
        <v>553</v>
      </c>
      <c r="B233" s="48"/>
      <c r="C233" s="48"/>
      <c r="D233" s="49"/>
      <c r="E233" s="49"/>
      <c r="F233" s="49"/>
      <c r="G233" s="49"/>
      <c r="H233" s="49"/>
      <c r="I233" s="49"/>
      <c r="J233" s="52"/>
      <c r="K233" s="56"/>
      <c r="L233" s="52"/>
      <c r="M233" s="58"/>
      <c r="N233" s="59"/>
      <c r="O233" s="59"/>
      <c r="P233" s="59"/>
      <c r="Q233" s="59"/>
      <c r="R233" s="59"/>
      <c r="S233" s="59"/>
      <c r="T233" s="59"/>
      <c r="U233" s="70"/>
      <c r="V233" s="57"/>
      <c r="W233" s="57"/>
      <c r="X233" s="57"/>
      <c r="Y233" s="57"/>
      <c r="Z233" s="60"/>
      <c r="AA233" s="60"/>
      <c r="AB233" s="60"/>
      <c r="AC233" s="60"/>
      <c r="AD233" s="60"/>
      <c r="AE233" s="4"/>
      <c r="AF233" s="4"/>
      <c r="AG233" s="4"/>
    </row>
    <row r="234" spans="1:34" s="3" customFormat="1" ht="60" customHeight="1" x14ac:dyDescent="1.35">
      <c r="A234" s="48" t="s">
        <v>858</v>
      </c>
      <c r="B234" s="48"/>
      <c r="C234" s="48"/>
      <c r="D234" s="49"/>
      <c r="E234" s="49"/>
      <c r="F234" s="49"/>
      <c r="G234" s="49"/>
      <c r="H234" s="49"/>
      <c r="I234" s="49"/>
      <c r="J234" s="52"/>
      <c r="K234" s="56"/>
      <c r="L234" s="52"/>
      <c r="M234" s="58"/>
      <c r="N234" s="59"/>
      <c r="O234" s="59"/>
      <c r="P234" s="59"/>
      <c r="Q234" s="59"/>
      <c r="R234" s="59"/>
      <c r="S234" s="59"/>
      <c r="T234" s="59"/>
      <c r="U234" s="70"/>
      <c r="V234" s="57"/>
      <c r="W234" s="57"/>
      <c r="X234" s="57"/>
      <c r="Y234" s="57"/>
      <c r="Z234" s="60"/>
      <c r="AA234" s="60"/>
      <c r="AB234" s="60"/>
      <c r="AC234" s="60"/>
      <c r="AD234" s="60"/>
      <c r="AE234" s="4"/>
      <c r="AF234" s="4"/>
      <c r="AG234" s="4"/>
    </row>
    <row r="235" spans="1:34" s="4" customFormat="1" ht="60" customHeight="1" x14ac:dyDescent="1.25">
      <c r="A235" s="4" t="s">
        <v>859</v>
      </c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34" s="3" customFormat="1" ht="60" customHeight="1" x14ac:dyDescent="1.35">
      <c r="A236" s="48" t="s">
        <v>557</v>
      </c>
      <c r="B236" s="48"/>
      <c r="C236" s="48"/>
      <c r="D236" s="49"/>
      <c r="E236" s="49"/>
      <c r="F236" s="49"/>
      <c r="G236" s="49"/>
      <c r="H236" s="49"/>
      <c r="I236" s="49"/>
      <c r="J236" s="49"/>
      <c r="K236" s="49"/>
      <c r="L236" s="49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</row>
    <row r="237" spans="1:34" s="3" customFormat="1" ht="60" customHeight="1" x14ac:dyDescent="1.35">
      <c r="A237" s="48" t="s">
        <v>556</v>
      </c>
      <c r="B237" s="48"/>
      <c r="C237" s="48"/>
      <c r="D237" s="49"/>
      <c r="E237" s="49"/>
      <c r="F237" s="49"/>
      <c r="G237" s="49"/>
      <c r="H237" s="49"/>
      <c r="I237" s="49"/>
      <c r="J237" s="52"/>
      <c r="K237" s="56"/>
      <c r="L237" s="52"/>
      <c r="M237" s="58"/>
      <c r="N237" s="59"/>
      <c r="O237" s="59"/>
      <c r="P237" s="59"/>
      <c r="Q237" s="59"/>
      <c r="R237" s="59"/>
      <c r="S237" s="59"/>
      <c r="T237" s="59"/>
      <c r="U237" s="70"/>
      <c r="V237" s="57"/>
      <c r="W237" s="57"/>
      <c r="X237" s="57"/>
      <c r="Y237" s="57"/>
      <c r="Z237" s="60"/>
      <c r="AA237" s="60"/>
      <c r="AB237" s="60"/>
      <c r="AC237" s="60"/>
      <c r="AD237" s="60"/>
      <c r="AE237" s="4"/>
      <c r="AF237" s="4"/>
      <c r="AG237" s="4"/>
    </row>
    <row r="238" spans="1:34" s="3" customFormat="1" ht="60" customHeight="1" x14ac:dyDescent="1.35">
      <c r="A238" s="48" t="s">
        <v>558</v>
      </c>
      <c r="B238" s="48"/>
      <c r="C238" s="48"/>
      <c r="D238" s="49"/>
      <c r="E238" s="49"/>
      <c r="F238" s="49"/>
      <c r="G238" s="49"/>
      <c r="H238" s="49"/>
      <c r="I238" s="49"/>
      <c r="J238" s="49"/>
      <c r="K238" s="49"/>
      <c r="L238" s="49"/>
      <c r="M238" s="48"/>
      <c r="N238" s="48"/>
      <c r="O238" s="48"/>
      <c r="P238" s="60"/>
      <c r="Q238" s="60"/>
      <c r="R238" s="60"/>
      <c r="S238" s="60"/>
      <c r="T238" s="60"/>
      <c r="U238" s="69"/>
      <c r="V238" s="60"/>
      <c r="W238" s="60"/>
      <c r="X238" s="60"/>
      <c r="Y238" s="60"/>
      <c r="Z238" s="60"/>
      <c r="AA238" s="60"/>
      <c r="AB238" s="60"/>
      <c r="AC238" s="60"/>
      <c r="AD238" s="60"/>
      <c r="AE238" s="4"/>
      <c r="AF238" s="4"/>
      <c r="AG238" s="4"/>
    </row>
    <row r="239" spans="1:34" s="3" customFormat="1" ht="60" customHeight="1" x14ac:dyDescent="1.35">
      <c r="A239" s="347" t="s">
        <v>559</v>
      </c>
      <c r="B239" s="347"/>
      <c r="C239" s="347"/>
      <c r="D239" s="347"/>
      <c r="E239" s="347"/>
      <c r="F239" s="347"/>
      <c r="G239" s="347"/>
      <c r="H239" s="347"/>
      <c r="I239" s="347"/>
      <c r="J239" s="347"/>
      <c r="K239" s="347"/>
      <c r="L239" s="347"/>
      <c r="M239" s="347"/>
      <c r="N239" s="347"/>
      <c r="O239" s="347"/>
      <c r="P239" s="347"/>
      <c r="Q239" s="347"/>
      <c r="R239" s="347"/>
      <c r="S239" s="347"/>
      <c r="T239" s="347"/>
      <c r="U239" s="347"/>
      <c r="V239" s="347"/>
      <c r="W239" s="347"/>
      <c r="X239" s="347"/>
      <c r="Y239" s="347"/>
      <c r="Z239" s="347"/>
      <c r="AA239" s="347"/>
      <c r="AB239" s="347"/>
      <c r="AC239" s="347"/>
      <c r="AD239" s="347"/>
      <c r="AE239" s="347"/>
      <c r="AF239" s="347"/>
      <c r="AG239" s="347"/>
      <c r="AH239" s="347"/>
    </row>
    <row r="240" spans="1:34" s="3" customFormat="1" ht="60" customHeight="1" x14ac:dyDescent="1.35">
      <c r="A240" s="347" t="s">
        <v>560</v>
      </c>
      <c r="B240" s="347"/>
      <c r="C240" s="347"/>
      <c r="D240" s="347"/>
      <c r="E240" s="347"/>
      <c r="F240" s="347"/>
      <c r="G240" s="347"/>
      <c r="H240" s="347"/>
      <c r="I240" s="347"/>
      <c r="J240" s="347"/>
      <c r="K240" s="347"/>
      <c r="L240" s="347"/>
      <c r="M240" s="347"/>
      <c r="N240" s="347"/>
      <c r="O240" s="347"/>
      <c r="P240" s="347"/>
      <c r="Q240" s="347"/>
      <c r="R240" s="347"/>
      <c r="S240" s="347"/>
      <c r="T240" s="347"/>
      <c r="U240" s="347"/>
      <c r="V240" s="347"/>
      <c r="W240" s="347"/>
      <c r="X240" s="347"/>
      <c r="Y240" s="347"/>
      <c r="Z240" s="347"/>
      <c r="AA240" s="347"/>
      <c r="AB240" s="347"/>
      <c r="AC240" s="347"/>
      <c r="AD240" s="347"/>
      <c r="AE240" s="347"/>
      <c r="AF240" s="347"/>
      <c r="AG240" s="347"/>
      <c r="AH240" s="347"/>
    </row>
    <row r="241" spans="1:36" s="3" customFormat="1" ht="60" customHeight="1" x14ac:dyDescent="1.35">
      <c r="A241" s="48" t="s">
        <v>561</v>
      </c>
      <c r="B241" s="48"/>
      <c r="C241" s="48"/>
      <c r="D241" s="49"/>
      <c r="E241" s="49"/>
      <c r="F241" s="49"/>
      <c r="G241" s="49"/>
      <c r="H241" s="49"/>
      <c r="I241" s="49"/>
      <c r="J241" s="49"/>
      <c r="K241" s="49"/>
      <c r="L241" s="49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</row>
    <row r="242" spans="1:36" s="3" customFormat="1" ht="60" customHeight="1" x14ac:dyDescent="1.35">
      <c r="A242" s="48" t="s">
        <v>562</v>
      </c>
      <c r="B242" s="48"/>
      <c r="C242" s="48"/>
      <c r="D242" s="49"/>
      <c r="E242" s="49"/>
      <c r="F242" s="49"/>
      <c r="G242" s="49"/>
      <c r="H242" s="49"/>
      <c r="I242" s="49"/>
      <c r="J242" s="49"/>
      <c r="K242" s="49"/>
      <c r="L242" s="49"/>
      <c r="M242" s="48"/>
      <c r="N242" s="48"/>
      <c r="O242" s="48"/>
      <c r="P242" s="60"/>
      <c r="Q242" s="60"/>
      <c r="R242" s="60"/>
      <c r="S242" s="60"/>
      <c r="T242" s="60"/>
      <c r="U242" s="69"/>
      <c r="V242" s="60"/>
      <c r="W242" s="60"/>
      <c r="X242" s="60"/>
      <c r="Y242" s="60"/>
      <c r="Z242" s="60"/>
      <c r="AA242" s="60"/>
      <c r="AB242" s="60"/>
      <c r="AC242" s="60"/>
      <c r="AD242" s="60"/>
      <c r="AE242" s="4"/>
      <c r="AF242" s="4"/>
      <c r="AG242" s="4"/>
      <c r="AI242" s="48"/>
      <c r="AJ242" s="48"/>
    </row>
    <row r="243" spans="1:36" s="3" customFormat="1" ht="60" customHeight="1" x14ac:dyDescent="1.35">
      <c r="A243" s="347" t="s">
        <v>563</v>
      </c>
      <c r="B243" s="347"/>
      <c r="C243" s="347"/>
      <c r="D243" s="347"/>
      <c r="E243" s="347"/>
      <c r="F243" s="347"/>
      <c r="G243" s="347"/>
      <c r="H243" s="347"/>
      <c r="I243" s="347"/>
      <c r="J243" s="347"/>
      <c r="K243" s="347"/>
      <c r="L243" s="347"/>
      <c r="M243" s="347"/>
      <c r="N243" s="347"/>
      <c r="O243" s="347"/>
      <c r="P243" s="347"/>
      <c r="Q243" s="347"/>
      <c r="R243" s="347"/>
      <c r="S243" s="347"/>
      <c r="T243" s="347"/>
      <c r="U243" s="347"/>
      <c r="V243" s="347"/>
      <c r="W243" s="347"/>
      <c r="X243" s="347"/>
      <c r="Y243" s="347"/>
      <c r="Z243" s="347"/>
      <c r="AA243" s="347"/>
      <c r="AB243" s="347"/>
      <c r="AC243" s="347"/>
      <c r="AD243" s="347"/>
      <c r="AE243" s="347"/>
      <c r="AF243" s="347"/>
      <c r="AG243" s="347"/>
      <c r="AH243" s="347"/>
      <c r="AI243" s="347"/>
      <c r="AJ243" s="347"/>
    </row>
    <row r="244" spans="1:36" s="3" customFormat="1" ht="60" customHeight="1" x14ac:dyDescent="1.35">
      <c r="A244" s="347" t="s">
        <v>564</v>
      </c>
      <c r="B244" s="347"/>
      <c r="C244" s="347"/>
      <c r="D244" s="347"/>
      <c r="E244" s="347"/>
      <c r="F244" s="347"/>
      <c r="G244" s="347"/>
      <c r="H244" s="347"/>
      <c r="I244" s="347"/>
      <c r="J244" s="347"/>
      <c r="K244" s="347"/>
      <c r="L244" s="347"/>
      <c r="M244" s="347"/>
      <c r="N244" s="347"/>
      <c r="O244" s="347"/>
      <c r="P244" s="347"/>
      <c r="Q244" s="347"/>
      <c r="R244" s="347"/>
      <c r="S244" s="347"/>
      <c r="T244" s="347"/>
      <c r="U244" s="347"/>
      <c r="V244" s="347"/>
      <c r="W244" s="347"/>
      <c r="X244" s="347"/>
      <c r="Y244" s="347"/>
      <c r="Z244" s="347"/>
      <c r="AA244" s="347"/>
      <c r="AB244" s="347"/>
      <c r="AC244" s="347"/>
      <c r="AD244" s="347"/>
      <c r="AE244" s="347"/>
      <c r="AF244" s="347"/>
      <c r="AG244" s="347"/>
      <c r="AH244" s="347"/>
      <c r="AI244" s="50"/>
      <c r="AJ244" s="50"/>
    </row>
    <row r="245" spans="1:36" s="3" customFormat="1" ht="56.85" customHeight="1" x14ac:dyDescent="1.35">
      <c r="A245" s="51"/>
      <c r="B245" s="48"/>
      <c r="C245" s="48"/>
      <c r="D245" s="49"/>
      <c r="E245" s="49"/>
      <c r="F245" s="52"/>
      <c r="G245" s="52"/>
      <c r="H245" s="52"/>
      <c r="I245" s="52"/>
      <c r="J245" s="52"/>
      <c r="K245" s="56"/>
      <c r="L245" s="52"/>
      <c r="N245" s="57"/>
      <c r="O245" s="57"/>
      <c r="P245" s="57"/>
      <c r="Q245" s="57"/>
      <c r="R245" s="57"/>
      <c r="S245" s="57"/>
      <c r="T245" s="57"/>
      <c r="U245" s="70"/>
      <c r="V245" s="57"/>
      <c r="W245" s="57"/>
      <c r="X245" s="57"/>
      <c r="Y245" s="57"/>
      <c r="Z245" s="57"/>
      <c r="AA245" s="57"/>
      <c r="AB245" s="57"/>
      <c r="AC245" s="57"/>
      <c r="AD245" s="57"/>
    </row>
    <row r="246" spans="1:36" s="3" customFormat="1" ht="56.85" customHeight="1" x14ac:dyDescent="1.35">
      <c r="A246" s="5"/>
      <c r="D246" s="52"/>
      <c r="E246" s="52"/>
      <c r="F246" s="52"/>
      <c r="G246" s="52"/>
      <c r="H246" s="52"/>
      <c r="I246" s="52"/>
      <c r="J246" s="52"/>
      <c r="K246" s="56"/>
      <c r="L246" s="52"/>
      <c r="N246" s="57"/>
      <c r="O246" s="57"/>
      <c r="P246" s="57"/>
      <c r="Q246" s="57"/>
      <c r="R246" s="57"/>
      <c r="S246" s="57"/>
      <c r="T246" s="57"/>
      <c r="U246" s="70"/>
      <c r="V246" s="57"/>
      <c r="W246" s="57"/>
      <c r="X246" s="57"/>
      <c r="Y246" s="57"/>
      <c r="Z246" s="57"/>
      <c r="AA246" s="57"/>
      <c r="AB246" s="57"/>
      <c r="AC246" s="57"/>
      <c r="AD246" s="57"/>
    </row>
    <row r="247" spans="1:36" ht="44.25" customHeight="1" x14ac:dyDescent="0.45">
      <c r="I247" s="61"/>
      <c r="J247" s="61"/>
      <c r="K247" s="62"/>
      <c r="L247" s="61"/>
      <c r="M247" s="63"/>
      <c r="N247" s="64"/>
      <c r="O247" s="64"/>
      <c r="P247" s="64"/>
      <c r="Q247" s="64"/>
      <c r="R247" s="64"/>
      <c r="S247" s="64"/>
      <c r="T247" s="64"/>
      <c r="U247" s="71"/>
      <c r="V247" s="64"/>
      <c r="W247" s="64"/>
      <c r="X247" s="64"/>
      <c r="Y247" s="64"/>
      <c r="Z247" s="64"/>
      <c r="AA247" s="65"/>
      <c r="AB247" s="65"/>
      <c r="AC247" s="65"/>
      <c r="AD247" s="65"/>
      <c r="AE247" s="5"/>
      <c r="AF247" s="5"/>
      <c r="AG247" s="5"/>
    </row>
    <row r="248" spans="1:36" ht="15.75" customHeight="1" x14ac:dyDescent="0.45">
      <c r="M248" s="5"/>
      <c r="N248" s="65"/>
      <c r="O248" s="65"/>
      <c r="P248" s="65"/>
      <c r="Q248" s="65"/>
      <c r="R248" s="65"/>
      <c r="S248" s="65"/>
      <c r="T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5"/>
      <c r="AF248" s="5"/>
      <c r="AG248" s="5"/>
    </row>
    <row r="249" spans="1:36" ht="15.75" customHeight="1" x14ac:dyDescent="0.45">
      <c r="R249" s="65"/>
      <c r="S249" s="65"/>
      <c r="T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5"/>
      <c r="AF249" s="5"/>
      <c r="AG249" s="5"/>
    </row>
    <row r="250" spans="1:36" ht="13.5" customHeight="1" x14ac:dyDescent="0.45">
      <c r="R250" s="65"/>
      <c r="S250" s="65"/>
      <c r="T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5"/>
      <c r="AF250" s="5"/>
      <c r="AG250" s="5"/>
    </row>
    <row r="251" spans="1:36" ht="15.75" hidden="1" customHeight="1" x14ac:dyDescent="0.45">
      <c r="R251" s="65"/>
      <c r="S251" s="65"/>
      <c r="T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5"/>
      <c r="AF251" s="5"/>
      <c r="AG251" s="5"/>
    </row>
  </sheetData>
  <autoFilter ref="C1:C251"/>
  <mergeCells count="32">
    <mergeCell ref="AA1:AH1"/>
    <mergeCell ref="AA2:AH2"/>
    <mergeCell ref="AA3:AH3"/>
    <mergeCell ref="AA4:AH4"/>
    <mergeCell ref="AA6:AG6"/>
    <mergeCell ref="A224:M224"/>
    <mergeCell ref="A239:AH239"/>
    <mergeCell ref="A240:AH240"/>
    <mergeCell ref="A243:AH243"/>
    <mergeCell ref="AA7:AG7"/>
    <mergeCell ref="AA8:AG8"/>
    <mergeCell ref="AA9:AG9"/>
    <mergeCell ref="A11:AG11"/>
    <mergeCell ref="H13:I13"/>
    <mergeCell ref="N13:Z13"/>
    <mergeCell ref="AA13:AE13"/>
    <mergeCell ref="AI243:AJ243"/>
    <mergeCell ref="A244:AH244"/>
    <mergeCell ref="A13:A14"/>
    <mergeCell ref="B13:B14"/>
    <mergeCell ref="C13:C14"/>
    <mergeCell ref="D13:D14"/>
    <mergeCell ref="E13:E14"/>
    <mergeCell ref="F13:F14"/>
    <mergeCell ref="G13:G14"/>
    <mergeCell ref="J13:J14"/>
    <mergeCell ref="K13:K14"/>
    <mergeCell ref="L13:L14"/>
    <mergeCell ref="M13:M14"/>
    <mergeCell ref="AF13:AF14"/>
    <mergeCell ref="AG13:AG14"/>
    <mergeCell ref="A16:AG16"/>
  </mergeCells>
  <pageMargins left="0.78740157480314998" right="0.70866141732283505" top="1.1811023622047201" bottom="0.35433070866141703" header="0" footer="0"/>
  <pageSetup paperSize="9" scale="18" fitToHeight="0" orientation="landscape" r:id="rId1"/>
  <headerFooter differentFirst="1" scaleWithDoc="0" alignWithMargins="0">
    <oddHeader>&amp;C&amp;P</oddHeader>
    <evenHeader>&amp;C&amp;38
&amp;K00+000 4&amp;K000000</evenHeader>
    <firstHeader>&amp;C&amp;50 
&amp;40 &amp;10</firstHeader>
  </headerFooter>
  <colBreaks count="1" manualBreakCount="1">
    <brk id="33" max="3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на 16.04 (2)</vt:lpstr>
      <vt:lpstr>на 16.04</vt:lpstr>
      <vt:lpstr>приложение к письму ФКР (цвет)</vt:lpstr>
      <vt:lpstr>нет решОСС 22 изм на 02.03.22</vt:lpstr>
      <vt:lpstr>12.04</vt:lpstr>
      <vt:lpstr>3307</vt:lpstr>
      <vt:lpstr>приложение к письму ФКР</vt:lpstr>
      <vt:lpstr>15.12 (2)</vt:lpstr>
      <vt:lpstr>'12.04'!Заголовки_для_печати</vt:lpstr>
      <vt:lpstr>'15.12 (2)'!Заголовки_для_печати</vt:lpstr>
      <vt:lpstr>'12.04'!Область_печати</vt:lpstr>
      <vt:lpstr>'15.12 (2)'!Область_печати</vt:lpstr>
      <vt:lpstr>'на 16.04'!Область_печати</vt:lpstr>
      <vt:lpstr>'на 16.04 (2)'!Область_печати</vt:lpstr>
      <vt:lpstr>'нет решОСС 22 изм на 02.03.22'!Область_печати</vt:lpstr>
      <vt:lpstr>'приложение к письму ФКР'!Область_печати</vt:lpstr>
      <vt:lpstr>'приложение к письму ФКР (цвет)'!Область_печати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Волкова Надежда Александровна</cp:lastModifiedBy>
  <cp:lastPrinted>2022-05-04T08:24:37Z</cp:lastPrinted>
  <dcterms:created xsi:type="dcterms:W3CDTF">2022-01-20T06:29:00Z</dcterms:created>
  <dcterms:modified xsi:type="dcterms:W3CDTF">2022-05-05T10:11:41Z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1049-11.2.0.10463</vt:lpwstr>
  </property>
  <property fmtid="{D5CDD505-2E9C-101B-9397-08002B2CF9AE}" pid="3" name="ICV">
    <vt:lpwstr>14D3FB8FE3C14CB286E03BDC5894AE72</vt:lpwstr>
  </property>
</Properties>
</file>