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2. 3465 от 08.11.2022\"/>
    </mc:Choice>
  </mc:AlternateContent>
  <xr:revisionPtr revIDLastSave="0" documentId="13_ncr:1_{9E3C9D94-DBE0-4EBF-B483-E0B2B2B7E02D}" xr6:coauthVersionLast="47" xr6:coauthVersionMax="47" xr10:uidLastSave="{00000000-0000-0000-0000-000000000000}"/>
  <bookViews>
    <workbookView xWindow="1365" yWindow="375" windowWidth="26025" windowHeight="14640" xr2:uid="{00000000-000D-0000-FFFF-FFFF00000000}"/>
  </bookViews>
  <sheets>
    <sheet name="Минстр18.04 с изм по Круп  изм" sheetId="9" r:id="rId1"/>
    <sheet name="последний лист" sheetId="11" r:id="rId2"/>
    <sheet name="Лист1" sheetId="10" r:id="rId3"/>
  </sheets>
  <definedNames>
    <definedName name="_xlnm._FilterDatabase" localSheetId="0" hidden="1">'Минстр18.04 с изм по Круп  изм'!$A$14:$BQ$134</definedName>
    <definedName name="_xlnm._FilterDatabase" localSheetId="1" hidden="1">'последний лист'!$A$14:$BQ$132</definedName>
    <definedName name="_xlnm.Print_Titles" localSheetId="0">'Минстр18.04 с изм по Круп  изм'!$12:$12</definedName>
    <definedName name="_xlnm.Print_Area" localSheetId="0">'Минстр18.04 с изм по Круп  изм'!$A$1:$AR$137</definedName>
    <definedName name="_xlnm.Print_Area" localSheetId="1">'последний лист'!$A$1:$AR$135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1" l="1"/>
  <c r="O14" i="11"/>
  <c r="Q14" i="11"/>
  <c r="R14" i="11"/>
  <c r="T14" i="11"/>
  <c r="N15" i="11"/>
  <c r="O15" i="11"/>
  <c r="Q15" i="11"/>
  <c r="R15" i="11"/>
  <c r="T15" i="11"/>
  <c r="G16" i="11"/>
  <c r="X16" i="11"/>
  <c r="Y16" i="11"/>
  <c r="Z16" i="11"/>
  <c r="N17" i="11"/>
  <c r="O17" i="11"/>
  <c r="Q17" i="11"/>
  <c r="R17" i="11"/>
  <c r="T17" i="11"/>
  <c r="W17" i="11"/>
  <c r="AA17" i="11"/>
  <c r="Y18" i="11"/>
  <c r="AB18" i="11"/>
  <c r="AC18" i="11" s="1"/>
  <c r="AF18" i="11"/>
  <c r="N19" i="11"/>
  <c r="O19" i="11"/>
  <c r="Q19" i="11"/>
  <c r="R19" i="11"/>
  <c r="T19" i="11"/>
  <c r="N20" i="11"/>
  <c r="O20" i="11"/>
  <c r="M20" i="11" s="1"/>
  <c r="AB20" i="11" s="1"/>
  <c r="Q20" i="11"/>
  <c r="T20" i="11"/>
  <c r="G21" i="11"/>
  <c r="W21" i="11" s="1"/>
  <c r="G22" i="11"/>
  <c r="N22" i="11" s="1"/>
  <c r="O22" i="11"/>
  <c r="Q22" i="11"/>
  <c r="R22" i="11"/>
  <c r="X22" i="11"/>
  <c r="Z22" i="11"/>
  <c r="N23" i="11"/>
  <c r="O23" i="11"/>
  <c r="Q23" i="11"/>
  <c r="R23" i="11"/>
  <c r="T23" i="11"/>
  <c r="W24" i="11"/>
  <c r="N25" i="11"/>
  <c r="O25" i="11"/>
  <c r="Q25" i="11"/>
  <c r="R25" i="11"/>
  <c r="M25" i="11" s="1"/>
  <c r="AB25" i="11" s="1"/>
  <c r="T25" i="11"/>
  <c r="G26" i="11"/>
  <c r="M26" i="11"/>
  <c r="U26" i="11"/>
  <c r="X26" i="11"/>
  <c r="Z26" i="11"/>
  <c r="U27" i="11"/>
  <c r="M27" i="11" s="1"/>
  <c r="AB27" i="11" s="1"/>
  <c r="AC27" i="11"/>
  <c r="AF27" i="11" s="1"/>
  <c r="G28" i="11"/>
  <c r="O28" i="11" s="1"/>
  <c r="N28" i="11"/>
  <c r="G29" i="11"/>
  <c r="W29" i="11"/>
  <c r="AB29" i="11" s="1"/>
  <c r="AC29" i="11"/>
  <c r="AF29" i="11" s="1"/>
  <c r="G30" i="11"/>
  <c r="W30" i="11" s="1"/>
  <c r="AB30" i="11"/>
  <c r="Y31" i="11"/>
  <c r="AB31" i="11"/>
  <c r="G32" i="11"/>
  <c r="W32" i="11"/>
  <c r="G33" i="11"/>
  <c r="W33" i="11" s="1"/>
  <c r="W34" i="11"/>
  <c r="AB34" i="11"/>
  <c r="AC34" i="11" s="1"/>
  <c r="AF34" i="11" s="1"/>
  <c r="G35" i="11"/>
  <c r="W35" i="11"/>
  <c r="AB35" i="11" s="1"/>
  <c r="AC35" i="11"/>
  <c r="AF35" i="11" s="1"/>
  <c r="W36" i="11"/>
  <c r="AB36" i="11" s="1"/>
  <c r="AC36" i="11"/>
  <c r="AF36" i="11" s="1"/>
  <c r="G37" i="11"/>
  <c r="W37" i="11" s="1"/>
  <c r="AB37" i="11"/>
  <c r="N38" i="11"/>
  <c r="O38" i="11"/>
  <c r="Q38" i="11"/>
  <c r="R38" i="11"/>
  <c r="T38" i="11"/>
  <c r="X38" i="11"/>
  <c r="Y38" i="11"/>
  <c r="Z38" i="11"/>
  <c r="Y39" i="11"/>
  <c r="AC39" i="11" s="1"/>
  <c r="AF39" i="11" s="1"/>
  <c r="AB39" i="11"/>
  <c r="Y40" i="11"/>
  <c r="AB40" i="11"/>
  <c r="N41" i="11"/>
  <c r="O41" i="11"/>
  <c r="Q41" i="11"/>
  <c r="R41" i="11"/>
  <c r="T41" i="11"/>
  <c r="Y41" i="11"/>
  <c r="Z41" i="11"/>
  <c r="Z43" i="11" s="1"/>
  <c r="AA41" i="11"/>
  <c r="Y42" i="11"/>
  <c r="AB42" i="11"/>
  <c r="F43" i="11"/>
  <c r="G43" i="11"/>
  <c r="Q43" i="11"/>
  <c r="Y43" i="11"/>
  <c r="AA43" i="11"/>
  <c r="G45" i="11"/>
  <c r="Q45" i="11"/>
  <c r="G46" i="11"/>
  <c r="N46" i="11"/>
  <c r="O46" i="11"/>
  <c r="Q46" i="11"/>
  <c r="R46" i="11"/>
  <c r="T46" i="11"/>
  <c r="X46" i="11"/>
  <c r="Z46" i="11"/>
  <c r="G47" i="11"/>
  <c r="M47" i="11"/>
  <c r="U47" i="11"/>
  <c r="X47" i="11"/>
  <c r="Y47" i="11"/>
  <c r="Z47" i="11"/>
  <c r="G48" i="11"/>
  <c r="O48" i="11" s="1"/>
  <c r="N48" i="11"/>
  <c r="Q48" i="11"/>
  <c r="T48" i="11"/>
  <c r="Z48" i="11"/>
  <c r="G49" i="11"/>
  <c r="O49" i="11" s="1"/>
  <c r="N49" i="11"/>
  <c r="Q49" i="11"/>
  <c r="T49" i="11"/>
  <c r="Y49" i="11"/>
  <c r="AB50" i="11"/>
  <c r="AC50" i="11"/>
  <c r="AF50" i="11" s="1"/>
  <c r="N51" i="11"/>
  <c r="AC51" i="11" s="1"/>
  <c r="AF51" i="11" s="1"/>
  <c r="O51" i="11"/>
  <c r="M51" i="11" s="1"/>
  <c r="Q51" i="11"/>
  <c r="R51" i="11"/>
  <c r="T51" i="11"/>
  <c r="AB51" i="11"/>
  <c r="N52" i="11"/>
  <c r="O52" i="11"/>
  <c r="Q52" i="11"/>
  <c r="R52" i="11"/>
  <c r="S52" i="11"/>
  <c r="S65" i="11" s="1"/>
  <c r="T52" i="11"/>
  <c r="Z52" i="11"/>
  <c r="AA52" i="11"/>
  <c r="N53" i="11"/>
  <c r="O53" i="11"/>
  <c r="Q53" i="11"/>
  <c r="R53" i="11"/>
  <c r="T53" i="11"/>
  <c r="G54" i="11"/>
  <c r="Q54" i="11" s="1"/>
  <c r="S54" i="11"/>
  <c r="AA54" i="11"/>
  <c r="N55" i="11"/>
  <c r="O55" i="11"/>
  <c r="Q55" i="11"/>
  <c r="R55" i="11"/>
  <c r="M55" i="11" s="1"/>
  <c r="AB55" i="11" s="1"/>
  <c r="T55" i="11"/>
  <c r="N56" i="11"/>
  <c r="O56" i="11"/>
  <c r="Q56" i="11"/>
  <c r="R56" i="11"/>
  <c r="N57" i="11"/>
  <c r="O57" i="11"/>
  <c r="Q57" i="11"/>
  <c r="R57" i="11"/>
  <c r="T57" i="11"/>
  <c r="W58" i="11"/>
  <c r="X58" i="11"/>
  <c r="AB58" i="11"/>
  <c r="N59" i="11"/>
  <c r="O59" i="11"/>
  <c r="Q59" i="11"/>
  <c r="R59" i="11"/>
  <c r="T59" i="11"/>
  <c r="X59" i="11"/>
  <c r="Z59" i="11"/>
  <c r="N60" i="11"/>
  <c r="O60" i="11"/>
  <c r="M60" i="11" s="1"/>
  <c r="AB60" i="11" s="1"/>
  <c r="AC60" i="11" s="1"/>
  <c r="AF60" i="11" s="1"/>
  <c r="Q60" i="11"/>
  <c r="R60" i="11"/>
  <c r="T60" i="11"/>
  <c r="X60" i="11"/>
  <c r="Z60" i="11"/>
  <c r="AA60" i="11"/>
  <c r="N61" i="11"/>
  <c r="O61" i="11"/>
  <c r="Q61" i="11"/>
  <c r="R61" i="11"/>
  <c r="M61" i="11" s="1"/>
  <c r="AB61" i="11" s="1"/>
  <c r="T61" i="11"/>
  <c r="Z61" i="11"/>
  <c r="AA61" i="11"/>
  <c r="N62" i="11"/>
  <c r="O62" i="11"/>
  <c r="Q62" i="11"/>
  <c r="R62" i="11"/>
  <c r="T62" i="11"/>
  <c r="N63" i="11"/>
  <c r="O63" i="11"/>
  <c r="M63" i="11" s="1"/>
  <c r="AB63" i="11" s="1"/>
  <c r="Q63" i="11"/>
  <c r="R63" i="11"/>
  <c r="T63" i="11"/>
  <c r="N64" i="11"/>
  <c r="O64" i="11"/>
  <c r="Q64" i="11"/>
  <c r="R64" i="11"/>
  <c r="T64" i="11"/>
  <c r="F65" i="11"/>
  <c r="U65" i="11"/>
  <c r="W65" i="11"/>
  <c r="Y65" i="11"/>
  <c r="AA65" i="11"/>
  <c r="N67" i="11"/>
  <c r="O67" i="11"/>
  <c r="Q67" i="11"/>
  <c r="R67" i="11"/>
  <c r="M67" i="11" s="1"/>
  <c r="T67" i="11"/>
  <c r="G68" i="11"/>
  <c r="Y68" i="11"/>
  <c r="AB68" i="11" s="1"/>
  <c r="AC68" i="11"/>
  <c r="AF68" i="11" s="1"/>
  <c r="G69" i="11"/>
  <c r="W70" i="11"/>
  <c r="AC70" i="11" s="1"/>
  <c r="AF70" i="11" s="1"/>
  <c r="AB70" i="11"/>
  <c r="W71" i="11"/>
  <c r="AB71" i="11"/>
  <c r="G72" i="11"/>
  <c r="H72" i="11"/>
  <c r="N72" i="11"/>
  <c r="M72" i="11" s="1"/>
  <c r="AB72" i="11" s="1"/>
  <c r="N73" i="11"/>
  <c r="O73" i="11"/>
  <c r="M73" i="11" s="1"/>
  <c r="AB73" i="11" s="1"/>
  <c r="Q73" i="11"/>
  <c r="R73" i="11"/>
  <c r="T73" i="11"/>
  <c r="O74" i="11"/>
  <c r="M74" i="11" s="1"/>
  <c r="AB74" i="11" s="1"/>
  <c r="AC74" i="11"/>
  <c r="AF74" i="11" s="1"/>
  <c r="X75" i="11"/>
  <c r="Z75" i="11"/>
  <c r="W76" i="11"/>
  <c r="AB76" i="11"/>
  <c r="AC76" i="11" s="1"/>
  <c r="AF76" i="11" s="1"/>
  <c r="N77" i="11"/>
  <c r="O77" i="11"/>
  <c r="Q77" i="11"/>
  <c r="R77" i="11"/>
  <c r="T77" i="11"/>
  <c r="G78" i="11"/>
  <c r="Y78" i="11" s="1"/>
  <c r="AA78" i="11"/>
  <c r="W79" i="11"/>
  <c r="AB79" i="11" s="1"/>
  <c r="W80" i="11"/>
  <c r="AB80" i="11" s="1"/>
  <c r="AC80" i="11"/>
  <c r="AF80" i="11" s="1"/>
  <c r="W81" i="11"/>
  <c r="AB81" i="11" s="1"/>
  <c r="N82" i="11"/>
  <c r="O82" i="11"/>
  <c r="M82" i="11" s="1"/>
  <c r="AB82" i="11" s="1"/>
  <c r="Q82" i="11"/>
  <c r="R82" i="11"/>
  <c r="T82" i="11"/>
  <c r="W83" i="11"/>
  <c r="AB83" i="11"/>
  <c r="W84" i="11"/>
  <c r="AB84" i="11"/>
  <c r="U85" i="11"/>
  <c r="X85" i="11"/>
  <c r="Y85" i="11"/>
  <c r="Z85" i="11"/>
  <c r="Y86" i="11"/>
  <c r="AB86" i="11"/>
  <c r="Y87" i="11"/>
  <c r="AB87" i="11"/>
  <c r="AC87" i="11"/>
  <c r="AF87" i="11" s="1"/>
  <c r="W88" i="11"/>
  <c r="AB88" i="11"/>
  <c r="AC88" i="11"/>
  <c r="AF88" i="11" s="1"/>
  <c r="X89" i="11"/>
  <c r="Y89" i="11"/>
  <c r="AC89" i="11" s="1"/>
  <c r="AF89" i="11" s="1"/>
  <c r="Z89" i="11"/>
  <c r="AB89" i="11" s="1"/>
  <c r="X90" i="11"/>
  <c r="AB90" i="11" s="1"/>
  <c r="AC90" i="11" s="1"/>
  <c r="AF90" i="11" s="1"/>
  <c r="Y90" i="11"/>
  <c r="Z90" i="11"/>
  <c r="Y91" i="11"/>
  <c r="AB91" i="11"/>
  <c r="AC91" i="11"/>
  <c r="AF91" i="11" s="1"/>
  <c r="W92" i="11"/>
  <c r="AB92" i="11"/>
  <c r="AC92" i="11"/>
  <c r="AF92" i="11" s="1"/>
  <c r="N93" i="11"/>
  <c r="M93" i="11" s="1"/>
  <c r="AB93" i="11" s="1"/>
  <c r="O93" i="11"/>
  <c r="AC93" i="11" s="1"/>
  <c r="AF93" i="11" s="1"/>
  <c r="T93" i="11"/>
  <c r="W94" i="11"/>
  <c r="AB94" i="11" s="1"/>
  <c r="M95" i="11"/>
  <c r="N95" i="11"/>
  <c r="O95" i="11"/>
  <c r="AC95" i="11" s="1"/>
  <c r="AF95" i="11" s="1"/>
  <c r="AA95" i="11"/>
  <c r="AB95" i="11"/>
  <c r="N96" i="11"/>
  <c r="O96" i="11"/>
  <c r="Q96" i="11"/>
  <c r="R96" i="11"/>
  <c r="R103" i="11" s="1"/>
  <c r="T96" i="11"/>
  <c r="T103" i="11" s="1"/>
  <c r="Y97" i="11"/>
  <c r="AB97" i="11" s="1"/>
  <c r="AC97" i="11" s="1"/>
  <c r="AF97" i="11" s="1"/>
  <c r="Z97" i="11"/>
  <c r="Y98" i="11"/>
  <c r="Z98" i="11"/>
  <c r="AB98" i="11"/>
  <c r="AC98" i="11" s="1"/>
  <c r="AF98" i="11" s="1"/>
  <c r="N99" i="11"/>
  <c r="O99" i="11"/>
  <c r="Q99" i="11"/>
  <c r="R99" i="11"/>
  <c r="T99" i="11"/>
  <c r="W100" i="11"/>
  <c r="AB100" i="11" s="1"/>
  <c r="W101" i="11"/>
  <c r="AB101" i="11" s="1"/>
  <c r="W102" i="11"/>
  <c r="AB102" i="11" s="1"/>
  <c r="F103" i="11"/>
  <c r="D115" i="11" s="1"/>
  <c r="O103" i="11"/>
  <c r="Q103" i="11"/>
  <c r="U103" i="11"/>
  <c r="AA103" i="11"/>
  <c r="AA104" i="11" s="1"/>
  <c r="F104" i="11"/>
  <c r="S104" i="11"/>
  <c r="D112" i="11"/>
  <c r="AA112" i="11"/>
  <c r="U112" i="11"/>
  <c r="D109" i="11"/>
  <c r="AA109" i="11"/>
  <c r="F103" i="9"/>
  <c r="D117" i="9" s="1"/>
  <c r="W102" i="9"/>
  <c r="W101" i="9"/>
  <c r="W100" i="9"/>
  <c r="T99" i="9"/>
  <c r="R99" i="9"/>
  <c r="Q99" i="9"/>
  <c r="O99" i="9"/>
  <c r="N99" i="9"/>
  <c r="Z98" i="9"/>
  <c r="Y98" i="9"/>
  <c r="AB98" i="9" s="1"/>
  <c r="Z97" i="9"/>
  <c r="Y97" i="9"/>
  <c r="T96" i="9"/>
  <c r="R96" i="9"/>
  <c r="Q96" i="9"/>
  <c r="O96" i="9"/>
  <c r="N96" i="9"/>
  <c r="AA95" i="9"/>
  <c r="O95" i="9"/>
  <c r="N95" i="9"/>
  <c r="W94" i="9"/>
  <c r="AB94" i="9" s="1"/>
  <c r="T93" i="9"/>
  <c r="O93" i="9"/>
  <c r="N93" i="9"/>
  <c r="W92" i="9"/>
  <c r="Y91" i="9"/>
  <c r="Z90" i="9"/>
  <c r="Y90" i="9"/>
  <c r="X90" i="9"/>
  <c r="Z89" i="9"/>
  <c r="Y89" i="9"/>
  <c r="X89" i="9"/>
  <c r="W88" i="9"/>
  <c r="Y87" i="9"/>
  <c r="AB87" i="9" s="1"/>
  <c r="Y86" i="9"/>
  <c r="Z85" i="9"/>
  <c r="Y85" i="9"/>
  <c r="X85" i="9"/>
  <c r="U85" i="9"/>
  <c r="U103" i="9" s="1"/>
  <c r="W84" i="9"/>
  <c r="AB84" i="9" s="1"/>
  <c r="W83" i="9"/>
  <c r="T82" i="9"/>
  <c r="R82" i="9"/>
  <c r="Q82" i="9"/>
  <c r="O82" i="9"/>
  <c r="N82" i="9"/>
  <c r="W81" i="9"/>
  <c r="AB81" i="9" s="1"/>
  <c r="W80" i="9"/>
  <c r="AB80" i="9" s="1"/>
  <c r="W79" i="9"/>
  <c r="AB79" i="9" s="1"/>
  <c r="AA78" i="9"/>
  <c r="AA103" i="9" s="1"/>
  <c r="G78" i="9"/>
  <c r="Y78" i="9" s="1"/>
  <c r="T77" i="9"/>
  <c r="R77" i="9"/>
  <c r="Q77" i="9"/>
  <c r="O77" i="9"/>
  <c r="N77" i="9"/>
  <c r="W76" i="9"/>
  <c r="Z75" i="9"/>
  <c r="X75" i="9"/>
  <c r="O74" i="9"/>
  <c r="M74" i="9" s="1"/>
  <c r="AB74" i="9" s="1"/>
  <c r="T73" i="9"/>
  <c r="R73" i="9"/>
  <c r="Q73" i="9"/>
  <c r="O73" i="9"/>
  <c r="N73" i="9"/>
  <c r="H72" i="9"/>
  <c r="G72" i="9"/>
  <c r="N72" i="9" s="1"/>
  <c r="W71" i="9"/>
  <c r="W70" i="9"/>
  <c r="G69" i="9"/>
  <c r="Y69" i="9" s="1"/>
  <c r="G68" i="9"/>
  <c r="T67" i="9"/>
  <c r="R67" i="9"/>
  <c r="Q67" i="9"/>
  <c r="O67" i="9"/>
  <c r="N67" i="9"/>
  <c r="F65" i="9"/>
  <c r="D114" i="9" s="1"/>
  <c r="T64" i="9"/>
  <c r="R64" i="9"/>
  <c r="Q64" i="9"/>
  <c r="O64" i="9"/>
  <c r="N64" i="9"/>
  <c r="T63" i="9"/>
  <c r="R63" i="9"/>
  <c r="Q63" i="9"/>
  <c r="O63" i="9"/>
  <c r="N63" i="9"/>
  <c r="T62" i="9"/>
  <c r="R62" i="9"/>
  <c r="Q62" i="9"/>
  <c r="O62" i="9"/>
  <c r="N62" i="9"/>
  <c r="AA61" i="9"/>
  <c r="Z61" i="9"/>
  <c r="T61" i="9"/>
  <c r="R61" i="9"/>
  <c r="Q61" i="9"/>
  <c r="O61" i="9"/>
  <c r="N61" i="9"/>
  <c r="AA60" i="9"/>
  <c r="Z60" i="9"/>
  <c r="X60" i="9"/>
  <c r="T60" i="9"/>
  <c r="R60" i="9"/>
  <c r="Q60" i="9"/>
  <c r="O60" i="9"/>
  <c r="N60" i="9"/>
  <c r="Z59" i="9"/>
  <c r="X59" i="9"/>
  <c r="T59" i="9"/>
  <c r="R59" i="9"/>
  <c r="Q59" i="9"/>
  <c r="O59" i="9"/>
  <c r="N59" i="9"/>
  <c r="X58" i="9"/>
  <c r="W58" i="9"/>
  <c r="W65" i="9" s="1"/>
  <c r="W114" i="9" s="1"/>
  <c r="T57" i="9"/>
  <c r="R57" i="9"/>
  <c r="Q57" i="9"/>
  <c r="O57" i="9"/>
  <c r="N57" i="9"/>
  <c r="R56" i="9"/>
  <c r="Q56" i="9"/>
  <c r="O56" i="9"/>
  <c r="N56" i="9"/>
  <c r="T55" i="9"/>
  <c r="R55" i="9"/>
  <c r="Q55" i="9"/>
  <c r="O55" i="9"/>
  <c r="N55" i="9"/>
  <c r="AA54" i="9"/>
  <c r="S54" i="9"/>
  <c r="G54" i="9"/>
  <c r="Q54" i="9" s="1"/>
  <c r="T53" i="9"/>
  <c r="R53" i="9"/>
  <c r="Q53" i="9"/>
  <c r="O53" i="9"/>
  <c r="N53" i="9"/>
  <c r="AA52" i="9"/>
  <c r="Z52" i="9"/>
  <c r="T52" i="9"/>
  <c r="S52" i="9"/>
  <c r="R52" i="9"/>
  <c r="Q52" i="9"/>
  <c r="O52" i="9"/>
  <c r="N52" i="9"/>
  <c r="T51" i="9"/>
  <c r="R51" i="9"/>
  <c r="Q51" i="9"/>
  <c r="O51" i="9"/>
  <c r="N51" i="9"/>
  <c r="AB50" i="9"/>
  <c r="AC50" i="9" s="1"/>
  <c r="AF50" i="9" s="1"/>
  <c r="G49" i="9"/>
  <c r="Y49" i="9" s="1"/>
  <c r="G48" i="9"/>
  <c r="Z48" i="9" s="1"/>
  <c r="G47" i="9"/>
  <c r="Y47" i="9" s="1"/>
  <c r="G46" i="9"/>
  <c r="Z46" i="9" s="1"/>
  <c r="G45" i="9"/>
  <c r="O45" i="9" s="1"/>
  <c r="F43" i="9"/>
  <c r="D111" i="9" s="1"/>
  <c r="Y42" i="9"/>
  <c r="AA41" i="9"/>
  <c r="Z41" i="9"/>
  <c r="Y41" i="9"/>
  <c r="T41" i="9"/>
  <c r="R41" i="9"/>
  <c r="Q41" i="9"/>
  <c r="O41" i="9"/>
  <c r="N41" i="9"/>
  <c r="Y40" i="9"/>
  <c r="AB40" i="9" s="1"/>
  <c r="Y39" i="9"/>
  <c r="AB39" i="9" s="1"/>
  <c r="Z38" i="9"/>
  <c r="Y38" i="9"/>
  <c r="X38" i="9"/>
  <c r="T38" i="9"/>
  <c r="R38" i="9"/>
  <c r="Q38" i="9"/>
  <c r="O38" i="9"/>
  <c r="N38" i="9"/>
  <c r="G37" i="9"/>
  <c r="W37" i="9" s="1"/>
  <c r="AB37" i="9" s="1"/>
  <c r="W36" i="9"/>
  <c r="AB36" i="9" s="1"/>
  <c r="G35" i="9"/>
  <c r="W35" i="9" s="1"/>
  <c r="AB35" i="9" s="1"/>
  <c r="W34" i="9"/>
  <c r="AB34" i="9" s="1"/>
  <c r="G33" i="9"/>
  <c r="W33" i="9" s="1"/>
  <c r="AB33" i="9" s="1"/>
  <c r="G32" i="9"/>
  <c r="W32" i="9" s="1"/>
  <c r="Y31" i="9"/>
  <c r="AB31" i="9" s="1"/>
  <c r="G30" i="9"/>
  <c r="W30" i="9" s="1"/>
  <c r="AB30" i="9" s="1"/>
  <c r="G29" i="9"/>
  <c r="W29" i="9" s="1"/>
  <c r="G28" i="9"/>
  <c r="N28" i="9" s="1"/>
  <c r="U27" i="9"/>
  <c r="M27" i="9" s="1"/>
  <c r="AB27" i="9" s="1"/>
  <c r="G26" i="9"/>
  <c r="X26" i="9" s="1"/>
  <c r="T25" i="9"/>
  <c r="R25" i="9"/>
  <c r="Q25" i="9"/>
  <c r="O25" i="9"/>
  <c r="N25" i="9"/>
  <c r="W24" i="9"/>
  <c r="AB24" i="9" s="1"/>
  <c r="T23" i="9"/>
  <c r="R23" i="9"/>
  <c r="Q23" i="9"/>
  <c r="O23" i="9"/>
  <c r="N23" i="9"/>
  <c r="G22" i="9"/>
  <c r="X22" i="9" s="1"/>
  <c r="G21" i="9"/>
  <c r="W21" i="9" s="1"/>
  <c r="AB21" i="9" s="1"/>
  <c r="T20" i="9"/>
  <c r="Q20" i="9"/>
  <c r="O20" i="9"/>
  <c r="N20" i="9"/>
  <c r="T19" i="9"/>
  <c r="R19" i="9"/>
  <c r="Q19" i="9"/>
  <c r="O19" i="9"/>
  <c r="N19" i="9"/>
  <c r="Y18" i="9"/>
  <c r="AB18" i="9" s="1"/>
  <c r="AA17" i="9"/>
  <c r="W17" i="9"/>
  <c r="T17" i="9"/>
  <c r="R17" i="9"/>
  <c r="Q17" i="9"/>
  <c r="O17" i="9"/>
  <c r="N17" i="9"/>
  <c r="G16" i="9"/>
  <c r="T15" i="9"/>
  <c r="R15" i="9"/>
  <c r="Q15" i="9"/>
  <c r="O15" i="9"/>
  <c r="N15" i="9"/>
  <c r="T14" i="9"/>
  <c r="R14" i="9"/>
  <c r="Q14" i="9"/>
  <c r="O14" i="9"/>
  <c r="N14" i="9"/>
  <c r="S65" i="9" l="1"/>
  <c r="AA43" i="9"/>
  <c r="AA111" i="9" s="1"/>
  <c r="R49" i="9"/>
  <c r="X69" i="9"/>
  <c r="T45" i="9"/>
  <c r="R48" i="9"/>
  <c r="AB67" i="11"/>
  <c r="AC64" i="11"/>
  <c r="AF64" i="11" s="1"/>
  <c r="M52" i="11"/>
  <c r="AB52" i="11" s="1"/>
  <c r="AC52" i="11" s="1"/>
  <c r="AF52" i="11" s="1"/>
  <c r="AB28" i="11"/>
  <c r="AC28" i="11" s="1"/>
  <c r="AF28" i="11" s="1"/>
  <c r="M28" i="11"/>
  <c r="AC21" i="11"/>
  <c r="AF21" i="11" s="1"/>
  <c r="AC15" i="11"/>
  <c r="AF15" i="11" s="1"/>
  <c r="M15" i="11"/>
  <c r="AB15" i="11" s="1"/>
  <c r="O43" i="11"/>
  <c r="N103" i="11"/>
  <c r="M99" i="11"/>
  <c r="AB99" i="11" s="1"/>
  <c r="AC99" i="11" s="1"/>
  <c r="AF99" i="11" s="1"/>
  <c r="AC94" i="11"/>
  <c r="AF94" i="11" s="1"/>
  <c r="AC86" i="11"/>
  <c r="AF86" i="11" s="1"/>
  <c r="AC83" i="11"/>
  <c r="AF83" i="11" s="1"/>
  <c r="M77" i="11"/>
  <c r="AB77" i="11" s="1"/>
  <c r="AC77" i="11" s="1"/>
  <c r="AF77" i="11" s="1"/>
  <c r="AC73" i="11"/>
  <c r="AF73" i="11" s="1"/>
  <c r="AC71" i="11"/>
  <c r="AF71" i="11" s="1"/>
  <c r="M62" i="11"/>
  <c r="AB62" i="11" s="1"/>
  <c r="AC62" i="11" s="1"/>
  <c r="AF62" i="11" s="1"/>
  <c r="AC61" i="11"/>
  <c r="AF61" i="11" s="1"/>
  <c r="M59" i="11"/>
  <c r="AB59" i="11" s="1"/>
  <c r="AC58" i="11"/>
  <c r="AF58" i="11" s="1"/>
  <c r="M56" i="11"/>
  <c r="AB56" i="11" s="1"/>
  <c r="AC56" i="11" s="1"/>
  <c r="AF56" i="11" s="1"/>
  <c r="AC38" i="11"/>
  <c r="AF38" i="11" s="1"/>
  <c r="M38" i="11"/>
  <c r="AB38" i="11" s="1"/>
  <c r="AB33" i="11"/>
  <c r="AC33" i="11" s="1"/>
  <c r="AF33" i="11" s="1"/>
  <c r="AC31" i="11"/>
  <c r="AF31" i="11" s="1"/>
  <c r="AB24" i="11"/>
  <c r="AC24" i="11" s="1"/>
  <c r="AF24" i="11" s="1"/>
  <c r="AC20" i="11"/>
  <c r="AF20" i="11" s="1"/>
  <c r="M17" i="11"/>
  <c r="AB17" i="11" s="1"/>
  <c r="AC17" i="11" s="1"/>
  <c r="AF17" i="11" s="1"/>
  <c r="M96" i="11"/>
  <c r="AB96" i="11" s="1"/>
  <c r="AC96" i="11" s="1"/>
  <c r="AF96" i="11" s="1"/>
  <c r="X69" i="11"/>
  <c r="Z69" i="11"/>
  <c r="AC41" i="11"/>
  <c r="AF41" i="11" s="1"/>
  <c r="M41" i="11"/>
  <c r="AB41" i="11" s="1"/>
  <c r="AC102" i="11"/>
  <c r="AF102" i="11" s="1"/>
  <c r="AC101" i="11"/>
  <c r="AF101" i="11" s="1"/>
  <c r="AC100" i="11"/>
  <c r="AF100" i="11" s="1"/>
  <c r="AC84" i="11"/>
  <c r="AF84" i="11" s="1"/>
  <c r="AC81" i="11"/>
  <c r="AF81" i="11" s="1"/>
  <c r="AC79" i="11"/>
  <c r="AF79" i="11" s="1"/>
  <c r="AB75" i="11"/>
  <c r="AC75" i="11" s="1"/>
  <c r="AF75" i="11" s="1"/>
  <c r="AC67" i="11"/>
  <c r="AC63" i="11"/>
  <c r="AF63" i="11" s="1"/>
  <c r="AC59" i="11"/>
  <c r="AF59" i="11" s="1"/>
  <c r="R54" i="11"/>
  <c r="N54" i="11"/>
  <c r="O54" i="11"/>
  <c r="T54" i="11"/>
  <c r="AB47" i="11"/>
  <c r="AC47" i="11" s="1"/>
  <c r="AF47" i="11" s="1"/>
  <c r="M46" i="11"/>
  <c r="AB46" i="11" s="1"/>
  <c r="AC46" i="11" s="1"/>
  <c r="AF46" i="11" s="1"/>
  <c r="Q65" i="11"/>
  <c r="Q104" i="11" s="1"/>
  <c r="W43" i="11"/>
  <c r="W109" i="11" s="1"/>
  <c r="AC40" i="11"/>
  <c r="AF40" i="11" s="1"/>
  <c r="AB32" i="11"/>
  <c r="AC32" i="11" s="1"/>
  <c r="AF32" i="11" s="1"/>
  <c r="AB26" i="11"/>
  <c r="AC26" i="11" s="1"/>
  <c r="AF26" i="11" s="1"/>
  <c r="AC25" i="11"/>
  <c r="AF25" i="11" s="1"/>
  <c r="M23" i="11"/>
  <c r="AB23" i="11" s="1"/>
  <c r="AC23" i="11" s="1"/>
  <c r="AF23" i="11" s="1"/>
  <c r="N43" i="11"/>
  <c r="X43" i="11"/>
  <c r="AB16" i="11"/>
  <c r="AC16" i="11" s="1"/>
  <c r="AF16" i="11" s="1"/>
  <c r="W103" i="11"/>
  <c r="W115" i="11" s="1"/>
  <c r="G103" i="11"/>
  <c r="M85" i="11"/>
  <c r="AB85" i="11" s="1"/>
  <c r="AC85" i="11" s="1"/>
  <c r="AF85" i="11" s="1"/>
  <c r="AC82" i="11"/>
  <c r="AF82" i="11" s="1"/>
  <c r="Z78" i="11"/>
  <c r="X78" i="11"/>
  <c r="AC72" i="11"/>
  <c r="AF72" i="11" s="1"/>
  <c r="Y69" i="11"/>
  <c r="Y103" i="11" s="1"/>
  <c r="Y104" i="11" s="1"/>
  <c r="M64" i="11"/>
  <c r="AB64" i="11" s="1"/>
  <c r="M57" i="11"/>
  <c r="AB57" i="11" s="1"/>
  <c r="AC57" i="11" s="1"/>
  <c r="AF57" i="11" s="1"/>
  <c r="AC55" i="11"/>
  <c r="AF55" i="11" s="1"/>
  <c r="AC53" i="11"/>
  <c r="AF53" i="11" s="1"/>
  <c r="M53" i="11"/>
  <c r="AB53" i="11" s="1"/>
  <c r="T45" i="11"/>
  <c r="T65" i="11" s="1"/>
  <c r="G65" i="11"/>
  <c r="N45" i="11"/>
  <c r="O45" i="11"/>
  <c r="AC42" i="11"/>
  <c r="AF42" i="11" s="1"/>
  <c r="AC37" i="11"/>
  <c r="AF37" i="11" s="1"/>
  <c r="AC30" i="11"/>
  <c r="AF30" i="11" s="1"/>
  <c r="AB21" i="11"/>
  <c r="M19" i="11"/>
  <c r="AB19" i="11" s="1"/>
  <c r="AC19" i="11" s="1"/>
  <c r="AF19" i="11" s="1"/>
  <c r="R43" i="11"/>
  <c r="M14" i="11"/>
  <c r="Z49" i="11"/>
  <c r="Z65" i="11" s="1"/>
  <c r="R49" i="11"/>
  <c r="R48" i="11"/>
  <c r="M48" i="11" s="1"/>
  <c r="AB48" i="11" s="1"/>
  <c r="U43" i="11"/>
  <c r="U104" i="11" s="1"/>
  <c r="X49" i="11"/>
  <c r="X65" i="11" s="1"/>
  <c r="X112" i="11" s="1"/>
  <c r="X48" i="11"/>
  <c r="T22" i="11"/>
  <c r="T115" i="11"/>
  <c r="R109" i="11"/>
  <c r="Q109" i="11"/>
  <c r="Y109" i="11"/>
  <c r="S112" i="11"/>
  <c r="O109" i="11"/>
  <c r="N109" i="11"/>
  <c r="AA115" i="11"/>
  <c r="U109" i="11"/>
  <c r="Q115" i="11"/>
  <c r="Q112" i="11"/>
  <c r="Y112" i="11"/>
  <c r="W112" i="11"/>
  <c r="R115" i="11"/>
  <c r="M14" i="9"/>
  <c r="AB14" i="9" s="1"/>
  <c r="AC14" i="9" s="1"/>
  <c r="O28" i="9"/>
  <c r="AB28" i="9" s="1"/>
  <c r="AC28" i="9" s="1"/>
  <c r="M59" i="9"/>
  <c r="AB59" i="9" s="1"/>
  <c r="AC59" i="9" s="1"/>
  <c r="AF59" i="9" s="1"/>
  <c r="M62" i="9"/>
  <c r="AB62" i="9" s="1"/>
  <c r="AC62" i="9" s="1"/>
  <c r="AF62" i="9" s="1"/>
  <c r="W103" i="9"/>
  <c r="W117" i="9" s="1"/>
  <c r="M19" i="9"/>
  <c r="AB19" i="9" s="1"/>
  <c r="AC19" i="9" s="1"/>
  <c r="AF19" i="9" s="1"/>
  <c r="M93" i="9"/>
  <c r="AB93" i="9" s="1"/>
  <c r="AC93" i="9" s="1"/>
  <c r="AF93" i="9" s="1"/>
  <c r="M96" i="9"/>
  <c r="AB96" i="9" s="1"/>
  <c r="AC96" i="9" s="1"/>
  <c r="AF96" i="9" s="1"/>
  <c r="AB97" i="9"/>
  <c r="AC97" i="9" s="1"/>
  <c r="AF97" i="9" s="1"/>
  <c r="M15" i="9"/>
  <c r="AB15" i="9" s="1"/>
  <c r="AC15" i="9" s="1"/>
  <c r="AF15" i="9" s="1"/>
  <c r="M23" i="9"/>
  <c r="AB23" i="9" s="1"/>
  <c r="AC23" i="9" s="1"/>
  <c r="AF23" i="9" s="1"/>
  <c r="M38" i="9"/>
  <c r="AB38" i="9" s="1"/>
  <c r="AC38" i="9" s="1"/>
  <c r="AF38" i="9" s="1"/>
  <c r="M53" i="9"/>
  <c r="AB53" i="9" s="1"/>
  <c r="AC53" i="9" s="1"/>
  <c r="AF53" i="9" s="1"/>
  <c r="M56" i="9"/>
  <c r="AB56" i="9" s="1"/>
  <c r="AC56" i="9" s="1"/>
  <c r="AF56" i="9" s="1"/>
  <c r="M64" i="9"/>
  <c r="AB64" i="9" s="1"/>
  <c r="AC64" i="9" s="1"/>
  <c r="AF64" i="9" s="1"/>
  <c r="R103" i="9"/>
  <c r="R117" i="9" s="1"/>
  <c r="M82" i="9"/>
  <c r="AB82" i="9" s="1"/>
  <c r="AC82" i="9" s="1"/>
  <c r="AF82" i="9" s="1"/>
  <c r="M41" i="9"/>
  <c r="AB41" i="9" s="1"/>
  <c r="AC41" i="9" s="1"/>
  <c r="AF41" i="9" s="1"/>
  <c r="M52" i="9"/>
  <c r="AB52" i="9" s="1"/>
  <c r="AC52" i="9" s="1"/>
  <c r="AF52" i="9" s="1"/>
  <c r="M57" i="9"/>
  <c r="AB57" i="9" s="1"/>
  <c r="AC57" i="9" s="1"/>
  <c r="AF57" i="9" s="1"/>
  <c r="M77" i="9"/>
  <c r="AB77" i="9" s="1"/>
  <c r="AC77" i="9" s="1"/>
  <c r="AF77" i="9" s="1"/>
  <c r="M17" i="9"/>
  <c r="AB17" i="9" s="1"/>
  <c r="AC17" i="9" s="1"/>
  <c r="AF17" i="9" s="1"/>
  <c r="Z49" i="9"/>
  <c r="R54" i="9"/>
  <c r="O103" i="9"/>
  <c r="O117" i="9" s="1"/>
  <c r="G103" i="9"/>
  <c r="AC94" i="9"/>
  <c r="AF94" i="9" s="1"/>
  <c r="T54" i="9"/>
  <c r="M25" i="9"/>
  <c r="AB25" i="9" s="1"/>
  <c r="AC25" i="9" s="1"/>
  <c r="AF25" i="9" s="1"/>
  <c r="AC36" i="9"/>
  <c r="AF36" i="9" s="1"/>
  <c r="O48" i="9"/>
  <c r="O49" i="9"/>
  <c r="Q103" i="9"/>
  <c r="X78" i="9"/>
  <c r="Z78" i="9"/>
  <c r="AB83" i="9"/>
  <c r="AC83" i="9" s="1"/>
  <c r="AF83" i="9" s="1"/>
  <c r="AB86" i="9"/>
  <c r="AC86" i="9" s="1"/>
  <c r="AF86" i="9" s="1"/>
  <c r="T103" i="9"/>
  <c r="T117" i="9" s="1"/>
  <c r="G43" i="9"/>
  <c r="AC24" i="9"/>
  <c r="AF24" i="9" s="1"/>
  <c r="G65" i="9"/>
  <c r="Y65" i="9"/>
  <c r="Y114" i="9" s="1"/>
  <c r="X48" i="9"/>
  <c r="X49" i="9"/>
  <c r="AA65" i="9"/>
  <c r="AA114" i="9" s="1"/>
  <c r="O54" i="9"/>
  <c r="M67" i="9"/>
  <c r="AB67" i="9" s="1"/>
  <c r="AC67" i="9" s="1"/>
  <c r="Z69" i="9"/>
  <c r="AB75" i="9"/>
  <c r="AC75" i="9" s="1"/>
  <c r="AF75" i="9" s="1"/>
  <c r="AC84" i="9"/>
  <c r="AF84" i="9" s="1"/>
  <c r="AC87" i="9"/>
  <c r="AF87" i="9" s="1"/>
  <c r="AC27" i="9"/>
  <c r="AF27" i="9" s="1"/>
  <c r="AB29" i="9"/>
  <c r="AC29" i="9" s="1"/>
  <c r="AF29" i="9" s="1"/>
  <c r="AB32" i="9"/>
  <c r="AC32" i="9" s="1"/>
  <c r="AF32" i="9" s="1"/>
  <c r="Y16" i="9"/>
  <c r="Y43" i="9" s="1"/>
  <c r="Y111" i="9" s="1"/>
  <c r="AC18" i="9"/>
  <c r="AF18" i="9" s="1"/>
  <c r="AC21" i="9"/>
  <c r="AF21" i="9" s="1"/>
  <c r="N22" i="9"/>
  <c r="N43" i="9" s="1"/>
  <c r="N111" i="9" s="1"/>
  <c r="Q22" i="9"/>
  <c r="Q43" i="9" s="1"/>
  <c r="Q111" i="9" s="1"/>
  <c r="T22" i="9"/>
  <c r="T43" i="9" s="1"/>
  <c r="T111" i="9" s="1"/>
  <c r="Z22" i="9"/>
  <c r="U26" i="9"/>
  <c r="Z26" i="9"/>
  <c r="AC30" i="9"/>
  <c r="AF30" i="9" s="1"/>
  <c r="AC31" i="9"/>
  <c r="AF31" i="9" s="1"/>
  <c r="AC33" i="9"/>
  <c r="AF33" i="9" s="1"/>
  <c r="AC34" i="9"/>
  <c r="AF34" i="9" s="1"/>
  <c r="S114" i="9"/>
  <c r="S104" i="9"/>
  <c r="M72" i="9"/>
  <c r="AB72" i="9" s="1"/>
  <c r="AC72" i="9" s="1"/>
  <c r="AF72" i="9" s="1"/>
  <c r="AC74" i="9"/>
  <c r="AF74" i="9" s="1"/>
  <c r="X16" i="9"/>
  <c r="Z16" i="9"/>
  <c r="W43" i="9"/>
  <c r="W111" i="9" s="1"/>
  <c r="M20" i="9"/>
  <c r="AB20" i="9" s="1"/>
  <c r="AC20" i="9" s="1"/>
  <c r="AF20" i="9" s="1"/>
  <c r="O22" i="9"/>
  <c r="R22" i="9"/>
  <c r="R43" i="9" s="1"/>
  <c r="AC35" i="9"/>
  <c r="AF35" i="9" s="1"/>
  <c r="AC37" i="9"/>
  <c r="AF37" i="9" s="1"/>
  <c r="AC39" i="9"/>
  <c r="AF39" i="9" s="1"/>
  <c r="AC40" i="9"/>
  <c r="AF40" i="9" s="1"/>
  <c r="AB42" i="9"/>
  <c r="AC42" i="9" s="1"/>
  <c r="AF42" i="9" s="1"/>
  <c r="N45" i="9"/>
  <c r="Q45" i="9"/>
  <c r="O46" i="9"/>
  <c r="R46" i="9"/>
  <c r="X46" i="9"/>
  <c r="X47" i="9"/>
  <c r="Z47" i="9"/>
  <c r="N48" i="9"/>
  <c r="Q48" i="9"/>
  <c r="T48" i="9"/>
  <c r="N49" i="9"/>
  <c r="Q49" i="9"/>
  <c r="T49" i="9"/>
  <c r="M51" i="9"/>
  <c r="AB51" i="9" s="1"/>
  <c r="AC51" i="9" s="1"/>
  <c r="AF51" i="9" s="1"/>
  <c r="N54" i="9"/>
  <c r="M55" i="9"/>
  <c r="AB55" i="9" s="1"/>
  <c r="AC55" i="9" s="1"/>
  <c r="AF55" i="9" s="1"/>
  <c r="AB58" i="9"/>
  <c r="AC58" i="9" s="1"/>
  <c r="AF58" i="9" s="1"/>
  <c r="M60" i="9"/>
  <c r="AB60" i="9" s="1"/>
  <c r="AC60" i="9" s="1"/>
  <c r="AF60" i="9" s="1"/>
  <c r="M61" i="9"/>
  <c r="AB61" i="9" s="1"/>
  <c r="AC61" i="9" s="1"/>
  <c r="AF61" i="9" s="1"/>
  <c r="M63" i="9"/>
  <c r="AB63" i="9" s="1"/>
  <c r="AC63" i="9" s="1"/>
  <c r="AF63" i="9" s="1"/>
  <c r="Y68" i="9"/>
  <c r="AB70" i="9"/>
  <c r="AC70" i="9" s="1"/>
  <c r="AF70" i="9" s="1"/>
  <c r="AB71" i="9"/>
  <c r="AC71" i="9" s="1"/>
  <c r="AF71" i="9" s="1"/>
  <c r="M73" i="9"/>
  <c r="AB73" i="9" s="1"/>
  <c r="AC73" i="9" s="1"/>
  <c r="AF73" i="9" s="1"/>
  <c r="AB76" i="9"/>
  <c r="AC76" i="9" s="1"/>
  <c r="AF76" i="9" s="1"/>
  <c r="AA117" i="9"/>
  <c r="AC79" i="9"/>
  <c r="AF79" i="9" s="1"/>
  <c r="AC80" i="9"/>
  <c r="AF80" i="9" s="1"/>
  <c r="AC81" i="9"/>
  <c r="AF81" i="9" s="1"/>
  <c r="N46" i="9"/>
  <c r="Q46" i="9"/>
  <c r="T46" i="9"/>
  <c r="U47" i="9"/>
  <c r="N103" i="9"/>
  <c r="Q117" i="9"/>
  <c r="U117" i="9"/>
  <c r="M85" i="9"/>
  <c r="AB85" i="9" s="1"/>
  <c r="AC85" i="9" s="1"/>
  <c r="AF85" i="9" s="1"/>
  <c r="AB88" i="9"/>
  <c r="AC88" i="9" s="1"/>
  <c r="AF88" i="9" s="1"/>
  <c r="AB89" i="9"/>
  <c r="AC89" i="9" s="1"/>
  <c r="AF89" i="9" s="1"/>
  <c r="AB90" i="9"/>
  <c r="AC90" i="9" s="1"/>
  <c r="AF90" i="9" s="1"/>
  <c r="AB91" i="9"/>
  <c r="AC91" i="9" s="1"/>
  <c r="AF91" i="9" s="1"/>
  <c r="AB92" i="9"/>
  <c r="AC92" i="9" s="1"/>
  <c r="AF92" i="9" s="1"/>
  <c r="M95" i="9"/>
  <c r="AB95" i="9" s="1"/>
  <c r="AC95" i="9" s="1"/>
  <c r="AF95" i="9" s="1"/>
  <c r="AC98" i="9"/>
  <c r="AF98" i="9" s="1"/>
  <c r="M99" i="9"/>
  <c r="AB99" i="9" s="1"/>
  <c r="AC99" i="9" s="1"/>
  <c r="AF99" i="9" s="1"/>
  <c r="AB100" i="9"/>
  <c r="AC100" i="9" s="1"/>
  <c r="AF100" i="9" s="1"/>
  <c r="AB101" i="9"/>
  <c r="AC101" i="9" s="1"/>
  <c r="AF101" i="9" s="1"/>
  <c r="AB102" i="9"/>
  <c r="AC102" i="9" s="1"/>
  <c r="AF102" i="9" s="1"/>
  <c r="F104" i="9"/>
  <c r="AB69" i="9" l="1"/>
  <c r="AC69" i="9" s="1"/>
  <c r="AF69" i="9" s="1"/>
  <c r="AA104" i="9"/>
  <c r="X103" i="9"/>
  <c r="X117" i="9" s="1"/>
  <c r="O43" i="9"/>
  <c r="O111" i="9" s="1"/>
  <c r="AB69" i="11"/>
  <c r="AB103" i="11" s="1"/>
  <c r="X103" i="11"/>
  <c r="X104" i="11" s="1"/>
  <c r="M103" i="11"/>
  <c r="M43" i="11"/>
  <c r="AB14" i="11"/>
  <c r="O65" i="11"/>
  <c r="O104" i="11" s="1"/>
  <c r="AB78" i="11"/>
  <c r="AC78" i="11"/>
  <c r="AF78" i="11" s="1"/>
  <c r="M54" i="11"/>
  <c r="AB54" i="11" s="1"/>
  <c r="AC54" i="11" s="1"/>
  <c r="AF54" i="11" s="1"/>
  <c r="AF67" i="11"/>
  <c r="M49" i="11"/>
  <c r="AB49" i="11" s="1"/>
  <c r="AC49" i="11" s="1"/>
  <c r="AF49" i="11" s="1"/>
  <c r="T43" i="11"/>
  <c r="T109" i="11" s="1"/>
  <c r="M22" i="11"/>
  <c r="AB22" i="11" s="1"/>
  <c r="R65" i="11"/>
  <c r="R104" i="11" s="1"/>
  <c r="M45" i="11"/>
  <c r="N65" i="11"/>
  <c r="N104" i="11" s="1"/>
  <c r="G104" i="11"/>
  <c r="AC48" i="11"/>
  <c r="AF48" i="11" s="1"/>
  <c r="W104" i="11"/>
  <c r="AC22" i="11"/>
  <c r="AF22" i="11" s="1"/>
  <c r="Z103" i="11"/>
  <c r="Z104" i="11" s="1"/>
  <c r="T112" i="11"/>
  <c r="Y115" i="11"/>
  <c r="M109" i="11"/>
  <c r="N115" i="11"/>
  <c r="O112" i="11"/>
  <c r="Z112" i="11"/>
  <c r="Z109" i="11"/>
  <c r="U115" i="11"/>
  <c r="X109" i="11"/>
  <c r="O115" i="11"/>
  <c r="N112" i="11"/>
  <c r="R65" i="9"/>
  <c r="R114" i="9" s="1"/>
  <c r="Z65" i="9"/>
  <c r="M28" i="9"/>
  <c r="AF28" i="9"/>
  <c r="W104" i="9"/>
  <c r="O65" i="9"/>
  <c r="O114" i="9" s="1"/>
  <c r="G104" i="9"/>
  <c r="T65" i="9"/>
  <c r="T104" i="9" s="1"/>
  <c r="AB78" i="9"/>
  <c r="AC78" i="9" s="1"/>
  <c r="AF78" i="9" s="1"/>
  <c r="Z103" i="9"/>
  <c r="Z117" i="9" s="1"/>
  <c r="Z43" i="9"/>
  <c r="Z111" i="9" s="1"/>
  <c r="T114" i="9"/>
  <c r="R111" i="9"/>
  <c r="R104" i="9"/>
  <c r="Z114" i="9"/>
  <c r="N117" i="9"/>
  <c r="M117" i="9" s="1"/>
  <c r="M46" i="9"/>
  <c r="AB46" i="9" s="1"/>
  <c r="AC46" i="9" s="1"/>
  <c r="AF46" i="9" s="1"/>
  <c r="Y103" i="9"/>
  <c r="AB68" i="9"/>
  <c r="AC68" i="9" s="1"/>
  <c r="M54" i="9"/>
  <c r="AB54" i="9" s="1"/>
  <c r="AC54" i="9" s="1"/>
  <c r="AF54" i="9" s="1"/>
  <c r="M49" i="9"/>
  <c r="AB49" i="9" s="1"/>
  <c r="AC49" i="9" s="1"/>
  <c r="AF49" i="9" s="1"/>
  <c r="X65" i="9"/>
  <c r="N65" i="9"/>
  <c r="N114" i="9" s="1"/>
  <c r="M45" i="9"/>
  <c r="AF14" i="9"/>
  <c r="U43" i="9"/>
  <c r="U111" i="9" s="1"/>
  <c r="M26" i="9"/>
  <c r="AB26" i="9" s="1"/>
  <c r="AC26" i="9" s="1"/>
  <c r="AF26" i="9" s="1"/>
  <c r="AF67" i="9"/>
  <c r="U65" i="9"/>
  <c r="M47" i="9"/>
  <c r="AB47" i="9" s="1"/>
  <c r="AC47" i="9" s="1"/>
  <c r="AF47" i="9" s="1"/>
  <c r="M48" i="9"/>
  <c r="AB48" i="9" s="1"/>
  <c r="AC48" i="9" s="1"/>
  <c r="AF48" i="9" s="1"/>
  <c r="Q65" i="9"/>
  <c r="X43" i="9"/>
  <c r="X111" i="9" s="1"/>
  <c r="AB16" i="9"/>
  <c r="AC16" i="9" s="1"/>
  <c r="M22" i="9"/>
  <c r="AB22" i="9" s="1"/>
  <c r="AC22" i="9" s="1"/>
  <c r="AF22" i="9" s="1"/>
  <c r="AC69" i="11" l="1"/>
  <c r="T104" i="11"/>
  <c r="AB45" i="11"/>
  <c r="M65" i="11"/>
  <c r="M104" i="11" s="1"/>
  <c r="AB43" i="11"/>
  <c r="AC14" i="11"/>
  <c r="R112" i="11"/>
  <c r="M115" i="11"/>
  <c r="M112" i="11"/>
  <c r="AB109" i="11"/>
  <c r="AC109" i="11" s="1"/>
  <c r="X115" i="11"/>
  <c r="Z115" i="11"/>
  <c r="O104" i="9"/>
  <c r="M111" i="9"/>
  <c r="Z104" i="9"/>
  <c r="AB103" i="9"/>
  <c r="AB117" i="9" s="1"/>
  <c r="M103" i="9"/>
  <c r="AF68" i="9"/>
  <c r="AC103" i="9"/>
  <c r="AF16" i="9"/>
  <c r="AF43" i="9" s="1"/>
  <c r="AC43" i="9"/>
  <c r="M43" i="9"/>
  <c r="X114" i="9"/>
  <c r="X104" i="9"/>
  <c r="N104" i="9"/>
  <c r="AB43" i="9"/>
  <c r="AB111" i="9" s="1"/>
  <c r="AC111" i="9" s="1"/>
  <c r="Q114" i="9"/>
  <c r="Q104" i="9"/>
  <c r="U114" i="9"/>
  <c r="U104" i="9"/>
  <c r="M65" i="9"/>
  <c r="AB45" i="9"/>
  <c r="Y117" i="9"/>
  <c r="Y104" i="9"/>
  <c r="AF14" i="11" l="1"/>
  <c r="AF43" i="11" s="1"/>
  <c r="AC43" i="11"/>
  <c r="AF69" i="11"/>
  <c r="AC103" i="11"/>
  <c r="AB65" i="11"/>
  <c r="AB104" i="11" s="1"/>
  <c r="AC45" i="11"/>
  <c r="AB112" i="11"/>
  <c r="AC112" i="11" s="1"/>
  <c r="AB115" i="11"/>
  <c r="AC115" i="11" s="1"/>
  <c r="M114" i="9"/>
  <c r="M104" i="9"/>
  <c r="AC117" i="9"/>
  <c r="AF103" i="9"/>
  <c r="AB65" i="9"/>
  <c r="AC45" i="9"/>
  <c r="AC65" i="11" l="1"/>
  <c r="AF45" i="11"/>
  <c r="AF65" i="11" s="1"/>
  <c r="AC104" i="11"/>
  <c r="AF103" i="11"/>
  <c r="AF104" i="11" s="1"/>
  <c r="AB114" i="9"/>
  <c r="AC114" i="9" s="1"/>
  <c r="AB104" i="9"/>
  <c r="AC65" i="9"/>
  <c r="AC104" i="9" s="1"/>
  <c r="AF45" i="9"/>
  <c r="AF65" i="9" s="1"/>
  <c r="AF10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Автор</author>
  </authors>
  <commentList>
    <comment ref="N14" authorId="0" shapeId="0" xr:uid="{00000000-0006-0000-00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14" authorId="0" shapeId="0" xr:uid="{00000000-0006-0000-00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14" authorId="0" shapeId="0" xr:uid="{00000000-0006-0000-0000-00000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14" authorId="0" shapeId="0" xr:uid="{00000000-0006-0000-00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14" authorId="0" shapeId="0" xr:uid="{00000000-0006-0000-00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15" authorId="0" shapeId="0" xr:uid="{00000000-0006-0000-00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15" authorId="0" shapeId="0" xr:uid="{00000000-0006-0000-0000-000007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15" authorId="0" shapeId="0" xr:uid="{00000000-0006-0000-00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R15" authorId="0" shapeId="0" xr:uid="{00000000-0006-0000-0000-000009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T15" authorId="0" shapeId="0" xr:uid="{00000000-0006-0000-0000-00000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  <r>
          <rPr>
            <sz val="14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X16" authorId="0" shapeId="0" xr:uid="{00000000-0006-0000-0000-00000C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Y16" authorId="0" shapeId="0" xr:uid="{00000000-0006-0000-0000-00000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Z16" authorId="0" shapeId="0" xr:uid="{00000000-0006-0000-00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17" authorId="1" shapeId="0" xr:uid="{00000000-0006-0000-0000-00000F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N17" authorId="0" shapeId="0" xr:uid="{00000000-0006-0000-0000-00001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O17" authorId="0" shapeId="0" xr:uid="{00000000-0006-0000-00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7" authorId="0" shapeId="0" xr:uid="{00000000-0006-0000-00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7" authorId="0" shapeId="0" xr:uid="{00000000-0006-0000-00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17" authorId="0" shapeId="0" xr:uid="{00000000-0006-0000-00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18" authorId="1" shapeId="0" xr:uid="{00000000-0006-0000-0000-00001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18" authorId="0" shapeId="0" xr:uid="{00000000-0006-0000-00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20" authorId="0" shapeId="0" xr:uid="{00000000-0006-0000-00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0" authorId="0" shapeId="0" xr:uid="{00000000-0006-0000-0000-00001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20" authorId="0" shapeId="0" xr:uid="{00000000-0006-0000-00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0" authorId="0" shapeId="0" xr:uid="{00000000-0006-0000-00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" authorId="0" shapeId="0" xr:uid="{00000000-0006-0000-00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C21" authorId="1" shapeId="0" xr:uid="{00000000-0006-0000-0000-00001C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V21" authorId="0" shapeId="0" xr:uid="{00000000-0006-0000-0000-00001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W21" authorId="0" shapeId="0" xr:uid="{00000000-0006-0000-0000-00001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N22" authorId="0" shapeId="0" xr:uid="{00000000-0006-0000-00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22" authorId="0" shapeId="0" xr:uid="{00000000-0006-0000-00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2" authorId="0" shapeId="0" xr:uid="{00000000-0006-0000-00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2" authorId="0" shapeId="0" xr:uid="{00000000-0006-0000-0000-00002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" authorId="0" shapeId="0" xr:uid="{00000000-0006-0000-0000-00002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X22" authorId="0" shapeId="0" xr:uid="{00000000-0006-0000-0000-00002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22" authorId="0" shapeId="0" xr:uid="{00000000-0006-0000-0000-00002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W24" authorId="0" shapeId="0" xr:uid="{00000000-0006-0000-00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" authorId="0" shapeId="0" xr:uid="{00000000-0006-0000-0000-00002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25" authorId="0" shapeId="0" xr:uid="{00000000-0006-0000-00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" authorId="0" shapeId="0" xr:uid="{00000000-0006-0000-0000-00002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5" authorId="0" shapeId="0" xr:uid="{00000000-0006-0000-00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" authorId="0" shapeId="0" xr:uid="{00000000-0006-0000-0000-00002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6" authorId="0" shapeId="0" xr:uid="{00000000-0006-0000-0000-00002C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O26" authorId="0" shapeId="0" xr:uid="{00000000-0006-0000-0000-00002D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X26" authorId="0" shapeId="0" xr:uid="{00000000-0006-0000-00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Y26" authorId="0" shapeId="0" xr:uid="{00000000-0006-0000-0000-00002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26" authorId="0" shapeId="0" xr:uid="{00000000-0006-0000-00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AA26" authorId="2" shapeId="0" xr:uid="{00000000-0006-0000-0000-000031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F26" authorId="1" shapeId="0" xr:uid="{00000000-0006-0000-0000-000032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U27" authorId="0" shapeId="0" xr:uid="{00000000-0006-0000-0000-00003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8" authorId="0" shapeId="0" xr:uid="{00000000-0006-0000-00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28" authorId="0" shapeId="0" xr:uid="{00000000-0006-0000-0000-00003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8" authorId="0" shapeId="0" xr:uid="{00000000-0006-0000-0000-00003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8" authorId="0" shapeId="0" xr:uid="{00000000-0006-0000-0000-00003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8" authorId="2" shapeId="0" xr:uid="{00000000-0006-0000-0000-000038000000}">
      <text>
        <r>
          <rPr>
            <b/>
            <sz val="12"/>
            <rFont val="Tahoma"/>
            <family val="2"/>
            <charset val="204"/>
          </rPr>
          <t>User:</t>
        </r>
        <r>
          <rPr>
            <sz val="12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работы выполнены в 2019</t>
        </r>
      </text>
    </comment>
    <comment ref="T28" authorId="0" shapeId="0" xr:uid="{00000000-0006-0000-0000-00003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28" authorId="0" shapeId="0" xr:uid="{00000000-0006-0000-00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подвал 2022-2024, СМР 8 135 112,42+СТР.К.122 026,69 =8 257 139, 11</t>
        </r>
      </text>
    </comment>
    <comment ref="Z28" authorId="0" shapeId="0" xr:uid="{00000000-0006-0000-0000-00003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28" authorId="2" shapeId="0" xr:uid="{00000000-0006-0000-0000-00003C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ВДИС </t>
        </r>
        <r>
          <rPr>
            <sz val="14"/>
            <rFont val="Tahoma"/>
            <family val="2"/>
            <charset val="204"/>
          </rPr>
          <t>- 2 369 395,2                  ПОДВАЛ - 1 000 114,80</t>
        </r>
      </text>
    </comment>
    <comment ref="AD28" authorId="0" shapeId="0" xr:uid="{45633F29-12B5-4ECF-91BA-8C3D6532288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F28" authorId="1" shapeId="0" xr:uid="{00000000-0006-0000-0000-00003D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C29" authorId="1" shapeId="0" xr:uid="{00000000-0006-0000-0000-00003E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29" authorId="0" shapeId="0" xr:uid="{00000000-0006-0000-0000-00003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0" authorId="1" shapeId="0" xr:uid="{00000000-0006-0000-0000-00004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0" authorId="0" shapeId="0" xr:uid="{00000000-0006-0000-0000-00004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1" authorId="1" shapeId="0" xr:uid="{00000000-0006-0000-0000-000042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31" authorId="0" shapeId="0" xr:uid="{00000000-0006-0000-00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2" authorId="1" shapeId="0" xr:uid="{00000000-0006-0000-0000-000044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2" authorId="0" shapeId="0" xr:uid="{00000000-0006-0000-0000-00004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3" authorId="1" shapeId="0" xr:uid="{00000000-0006-0000-0000-000046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W33" authorId="0" shapeId="0" xr:uid="{00000000-0006-0000-00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4" authorId="1" shapeId="0" xr:uid="{00000000-0006-0000-0000-000048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4" authorId="0" shapeId="0" xr:uid="{00000000-0006-0000-00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5" authorId="1" shapeId="0" xr:uid="{00000000-0006-0000-0000-00004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5" authorId="0" shapeId="0" xr:uid="{00000000-0006-0000-00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6" authorId="1" shapeId="0" xr:uid="{00000000-0006-0000-0000-00004C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6" authorId="0" shapeId="0" xr:uid="{00000000-0006-0000-0000-00004D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C37" authorId="1" shapeId="0" xr:uid="{00000000-0006-0000-0000-00004E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7" authorId="0" shapeId="0" xr:uid="{00000000-0006-0000-0000-00004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9" authorId="1" shapeId="0" xr:uid="{00000000-0006-0000-0000-00005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39" authorId="0" shapeId="0" xr:uid="{00000000-0006-0000-0000-00005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40" authorId="1" shapeId="0" xr:uid="{00000000-0006-0000-0000-000052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40" authorId="0" shapeId="0" xr:uid="{00000000-0006-0000-0000-00005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X41" authorId="0" shapeId="0" xr:uid="{00000000-0006-0000-00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C42" authorId="1" shapeId="0" xr:uid="{00000000-0006-0000-0000-00005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42" authorId="0" shapeId="0" xr:uid="{00000000-0006-0000-0000-00005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M45" authorId="0" shapeId="0" xr:uid="{00000000-0006-0000-0000-00005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45" authorId="0" shapeId="0" xr:uid="{00000000-0006-0000-0000-000058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45" authorId="3" shapeId="0" xr:uid="{00000000-0006-0000-0000-000059000000}">
      <text>
        <r>
          <rPr>
            <b/>
            <sz val="24"/>
            <rFont val="Tahoma"/>
            <family val="2"/>
            <charset val="204"/>
          </rPr>
          <t>ЯКУБИЦКАЯ:</t>
        </r>
        <r>
          <rPr>
            <sz val="24"/>
            <rFont val="Tahoma"/>
            <family val="2"/>
            <charset val="204"/>
          </rPr>
          <t xml:space="preserve">
ремонт ТС с ИТП в 2020</t>
        </r>
      </text>
    </comment>
    <comment ref="Q45" authorId="0" shapeId="0" xr:uid="{00000000-0006-0000-0000-00005A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45" authorId="0" shapeId="0" xr:uid="{00000000-0006-0000-0000-00005B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46" authorId="0" shapeId="0" xr:uid="{00000000-0006-0000-00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46" authorId="0" shapeId="0" xr:uid="{00000000-0006-0000-0000-00005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6" authorId="0" shapeId="0" xr:uid="{00000000-0006-0000-0000-00005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6" authorId="0" shapeId="0" xr:uid="{00000000-0006-0000-0000-00005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46" authorId="0" shapeId="0" xr:uid="{00000000-0006-0000-0000-00006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46" authorId="0" shapeId="0" xr:uid="{00000000-0006-0000-0000-00006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Z46" authorId="0" shapeId="0" xr:uid="{00000000-0006-0000-0000-00006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47" authorId="0" shapeId="0" xr:uid="{00000000-0006-0000-00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47" authorId="0" shapeId="0" xr:uid="{00000000-0006-0000-0000-00006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47" authorId="3" shapeId="0" xr:uid="{00000000-0006-0000-0000-000065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N48" authorId="0" shapeId="0" xr:uid="{00000000-0006-0000-0000-00006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48" authorId="0" shapeId="0" xr:uid="{00000000-0006-0000-0000-00006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8" authorId="0" shapeId="0" xr:uid="{00000000-0006-0000-0000-00006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" authorId="0" shapeId="0" xr:uid="{00000000-0006-0000-0000-00006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48" authorId="0" shapeId="0" xr:uid="{00000000-0006-0000-00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48" authorId="0" shapeId="0" xr:uid="{00000000-0006-0000-0000-00006B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Z48" authorId="3" shapeId="0" xr:uid="{00000000-0006-0000-0000-00006C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C49" authorId="3" shapeId="0" xr:uid="{00000000-0006-0000-0000-00006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N49" authorId="0" shapeId="0" xr:uid="{00000000-0006-0000-00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49" authorId="0" shapeId="0" xr:uid="{00000000-0006-0000-00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9" authorId="0" shapeId="0" xr:uid="{00000000-0006-0000-00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49" authorId="0" shapeId="0" xr:uid="{00000000-0006-0000-0000-00007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49" authorId="0" shapeId="0" xr:uid="{00000000-0006-0000-00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X49" authorId="0" shapeId="0" xr:uid="{00000000-0006-0000-0000-00007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Y49" authorId="0" shapeId="0" xr:uid="{00000000-0006-0000-0000-00007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49" authorId="0" shapeId="0" xr:uid="{00000000-0006-0000-0000-00007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50" authorId="3" shapeId="0" xr:uid="{00000000-0006-0000-0000-00007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N51" authorId="0" shapeId="0" xr:uid="{00000000-0006-0000-00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1" authorId="0" shapeId="0" xr:uid="{00000000-0006-0000-0000-00007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1" authorId="0" shapeId="0" xr:uid="{00000000-0006-0000-00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" authorId="0" shapeId="0" xr:uid="{00000000-0006-0000-00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51" authorId="0" shapeId="0" xr:uid="{00000000-0006-0000-00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52" authorId="0" shapeId="0" xr:uid="{00000000-0006-0000-00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2" authorId="0" shapeId="0" xr:uid="{00000000-0006-0000-00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2" authorId="0" shapeId="0" xr:uid="{00000000-0006-0000-00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2" authorId="0" shapeId="0" xr:uid="{00000000-0006-0000-00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2" authorId="0" shapeId="0" xr:uid="{00000000-0006-0000-0000-000080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</t>
        </r>
      </text>
    </comment>
    <comment ref="T52" authorId="0" shapeId="0" xr:uid="{00000000-0006-0000-00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" authorId="3" shapeId="0" xr:uid="{00000000-0006-0000-0000-000082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N53" authorId="0" shapeId="0" xr:uid="{00000000-0006-0000-0000-000083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53" authorId="0" shapeId="0" xr:uid="{00000000-0006-0000-0000-00008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53" authorId="0" shapeId="0" xr:uid="{00000000-0006-0000-0000-000085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3" authorId="0" shapeId="0" xr:uid="{00000000-0006-0000-0000-000086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53" authorId="0" shapeId="0" xr:uid="{00000000-0006-0000-0000-000087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54" authorId="0" shapeId="0" xr:uid="{00000000-0006-0000-0000-000088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54" authorId="0" shapeId="0" xr:uid="{00000000-0006-0000-0000-000089000000}">
      <text>
        <r>
          <rPr>
            <b/>
            <sz val="9"/>
            <rFont val="Tahoma"/>
            <family val="2"/>
            <charset val="204"/>
          </rPr>
          <t>Я</t>
        </r>
        <r>
          <rPr>
            <b/>
            <sz val="18"/>
            <rFont val="Tahoma"/>
            <family val="2"/>
            <charset val="204"/>
          </rPr>
          <t>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54" authorId="0" shapeId="0" xr:uid="{00000000-0006-0000-0000-00008A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4" authorId="0" shapeId="0" xr:uid="{00000000-0006-0000-0000-00008B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54" authorId="0" shapeId="0" xr:uid="{00000000-0006-0000-0000-00008C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 </t>
        </r>
      </text>
    </comment>
    <comment ref="T54" authorId="0" shapeId="0" xr:uid="{00000000-0006-0000-0000-00008D000000}">
      <text>
        <r>
          <rPr>
            <b/>
            <sz val="9"/>
            <rFont val="Tahoma"/>
            <family val="2"/>
            <charset val="204"/>
          </rPr>
          <t>Я</t>
        </r>
        <r>
          <rPr>
            <b/>
            <sz val="16"/>
            <rFont val="Tahoma"/>
            <family val="2"/>
            <charset val="204"/>
          </rPr>
          <t>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X54" authorId="0" shapeId="0" xr:uid="{00000000-0006-0000-00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54" authorId="3" shapeId="0" xr:uid="{00000000-0006-0000-0000-00008F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AA54" authorId="2" shapeId="0" xr:uid="{00000000-0006-0000-00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N55" authorId="0" shapeId="0" xr:uid="{00000000-0006-0000-00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55" authorId="0" shapeId="0" xr:uid="{00000000-0006-0000-00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55" authorId="0" shapeId="0" xr:uid="{00000000-0006-0000-00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55" authorId="0" shapeId="0" xr:uid="{00000000-0006-0000-0000-00009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5" authorId="0" shapeId="0" xr:uid="{00000000-0006-0000-00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6" authorId="0" shapeId="0" xr:uid="{00000000-0006-0000-00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AA56" authorId="2" shapeId="0" xr:uid="{00000000-0006-0000-0000-000097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N57" authorId="0" shapeId="0" xr:uid="{00000000-0006-0000-0000-000098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O57" authorId="0" shapeId="0" xr:uid="{00000000-0006-0000-0000-00009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7" authorId="0" shapeId="0" xr:uid="{00000000-0006-0000-0000-00009A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7" authorId="0" shapeId="0" xr:uid="{00000000-0006-0000-0000-00009B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57" authorId="0" shapeId="0" xr:uid="{00000000-0006-0000-0000-00009C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W58" authorId="0" shapeId="0" xr:uid="{00000000-0006-0000-00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59" authorId="0" shapeId="0" xr:uid="{00000000-0006-0000-00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9" authorId="0" shapeId="0" xr:uid="{00000000-0006-0000-00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9" authorId="0" shapeId="0" xr:uid="{00000000-0006-0000-00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9" authorId="0" shapeId="0" xr:uid="{00000000-0006-0000-00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59" authorId="0" shapeId="0" xr:uid="{00000000-0006-0000-0000-0000A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59" authorId="0" shapeId="0" xr:uid="{00000000-0006-0000-00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9" authorId="0" shapeId="0" xr:uid="{00000000-0006-0000-0000-0000A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60" authorId="0" shapeId="0" xr:uid="{00000000-0006-0000-0000-0000A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60" authorId="0" shapeId="0" xr:uid="{00000000-0006-0000-0000-0000A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60" authorId="0" shapeId="0" xr:uid="{00000000-0006-0000-00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AA60" authorId="2" shapeId="0" xr:uid="{00000000-0006-0000-0000-0000A8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N61" authorId="0" shapeId="0" xr:uid="{00000000-0006-0000-00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61" authorId="0" shapeId="0" xr:uid="{00000000-0006-0000-0000-0000A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61" authorId="0" shapeId="0" xr:uid="{00000000-0006-0000-0000-0000A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1" authorId="0" shapeId="0" xr:uid="{00000000-0006-0000-0000-0000A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61" authorId="0" shapeId="0" xr:uid="{00000000-0006-0000-0000-0000A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61" authorId="0" shapeId="0" xr:uid="{00000000-0006-0000-0000-0000A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61" authorId="3" shapeId="0" xr:uid="{00000000-0006-0000-0000-0000AF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AA61" authorId="2" shapeId="0" xr:uid="{00000000-0006-0000-0000-0000B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N64" authorId="0" shapeId="0" xr:uid="{00000000-0006-0000-0000-0000B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64" authorId="0" shapeId="0" xr:uid="{00000000-0006-0000-0000-0000B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64" authorId="0" shapeId="0" xr:uid="{00000000-0006-0000-0000-0000B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4" authorId="0" shapeId="0" xr:uid="{00000000-0006-0000-0000-0000B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64" authorId="0" shapeId="0" xr:uid="{00000000-0006-0000-0000-0000B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67" authorId="0" shapeId="0" xr:uid="{00000000-0006-0000-0000-0000B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O67" authorId="0" shapeId="0" xr:uid="{00000000-0006-0000-0000-0000B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67" authorId="0" shapeId="0" xr:uid="{00000000-0006-0000-0000-0000B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67" authorId="0" shapeId="0" xr:uid="{00000000-0006-0000-0000-0000B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67" authorId="0" shapeId="0" xr:uid="{00000000-0006-0000-0000-0000B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68" authorId="0" shapeId="0" xr:uid="{00000000-0006-0000-0000-0000BB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W70" authorId="0" shapeId="0" xr:uid="{00000000-0006-0000-0000-0000B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71" authorId="0" shapeId="0" xr:uid="{00000000-0006-0000-0000-0000B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N72" authorId="0" shapeId="0" xr:uid="{00000000-0006-0000-0000-0000B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N73" authorId="0" shapeId="0" xr:uid="{00000000-0006-0000-0000-0000B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73" authorId="0" shapeId="0" xr:uid="{00000000-0006-0000-0000-0000C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73" authorId="0" shapeId="0" xr:uid="{00000000-0006-0000-0000-0000C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73" authorId="0" shapeId="0" xr:uid="{00000000-0006-0000-0000-0000C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73" authorId="0" shapeId="0" xr:uid="{00000000-0006-0000-0000-0000C3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74" authorId="0" shapeId="0" xr:uid="{00000000-0006-0000-0000-0000C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O74" authorId="0" shapeId="0" xr:uid="{00000000-0006-0000-0000-0000C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4" authorId="0" shapeId="0" xr:uid="{00000000-0006-0000-0000-0000C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R74" authorId="0" shapeId="0" xr:uid="{00000000-0006-0000-0000-0000C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74" authorId="0" shapeId="0" xr:uid="{00000000-0006-0000-0000-0000C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AA74" authorId="2" shapeId="0" xr:uid="{00000000-0006-0000-0000-0000C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X75" authorId="0" shapeId="0" xr:uid="{00000000-0006-0000-0000-0000C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75" authorId="0" shapeId="0" xr:uid="{00000000-0006-0000-0000-0000C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Z75" authorId="0" shapeId="0" xr:uid="{00000000-0006-0000-0000-0000C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76" authorId="0" shapeId="0" xr:uid="{00000000-0006-0000-0000-0000C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77" authorId="0" shapeId="0" xr:uid="{00000000-0006-0000-0000-0000C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77" authorId="0" shapeId="0" xr:uid="{00000000-0006-0000-0000-0000C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7" authorId="0" shapeId="0" xr:uid="{00000000-0006-0000-0000-0000D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77" authorId="0" shapeId="0" xr:uid="{00000000-0006-0000-0000-0000D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77" authorId="0" shapeId="0" xr:uid="{00000000-0006-0000-0000-0000D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78" authorId="0" shapeId="0" xr:uid="{00000000-0006-0000-0000-0000D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78" authorId="2" shapeId="0" xr:uid="{00000000-0006-0000-0000-0000D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Z78" authorId="0" shapeId="0" xr:uid="{00000000-0006-0000-0000-0000D5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W79" authorId="0" shapeId="0" xr:uid="{00000000-0006-0000-0000-0000D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W80" authorId="0" shapeId="0" xr:uid="{00000000-0006-0000-0000-0000D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81" authorId="0" shapeId="0" xr:uid="{00000000-0006-0000-0000-0000D8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N82" authorId="0" shapeId="0" xr:uid="{00000000-0006-0000-0000-0000D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82" authorId="0" shapeId="0" xr:uid="{00000000-0006-0000-0000-0000D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82" authorId="0" shapeId="0" xr:uid="{00000000-0006-0000-0000-0000D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83" authorId="0" shapeId="0" xr:uid="{00000000-0006-0000-0000-0000D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83" authorId="2" shapeId="0" xr:uid="{00000000-0006-0000-0000-0000DD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W84" authorId="0" shapeId="0" xr:uid="{00000000-0006-0000-0000-0000D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85" authorId="0" shapeId="0" xr:uid="{00000000-0006-0000-0000-0000D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85" authorId="0" shapeId="0" xr:uid="{00000000-0006-0000-0000-0000E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85" authorId="0" shapeId="0" xr:uid="{00000000-0006-0000-0000-0000E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85" authorId="3" shapeId="0" xr:uid="{00000000-0006-0000-0000-0000E2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Y86" authorId="0" shapeId="0" xr:uid="{00000000-0006-0000-0000-0000E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87" authorId="0" shapeId="0" xr:uid="{00000000-0006-0000-0000-0000E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89" authorId="0" shapeId="0" xr:uid="{00000000-0006-0000-0000-0000E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89" authorId="0" shapeId="0" xr:uid="{00000000-0006-0000-0000-0000E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89" authorId="3" shapeId="0" xr:uid="{00000000-0006-0000-0000-0000EB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X90" authorId="0" shapeId="0" xr:uid="{00000000-0006-0000-0000-0000E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0" authorId="0" shapeId="0" xr:uid="{00000000-0006-0000-0000-0000E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90" authorId="0" shapeId="0" xr:uid="{00000000-0006-0000-0000-0000E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1" authorId="0" shapeId="0" xr:uid="{00000000-0006-0000-0000-0000E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92" authorId="0" shapeId="0" xr:uid="{00000000-0006-0000-0000-0000F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93" authorId="0" shapeId="0" xr:uid="{00000000-0006-0000-0000-0000F1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ВДП, т.к.при выполнении КР системы ГВС в 2016 году ВДП не менялся</t>
        </r>
      </text>
    </comment>
    <comment ref="N95" authorId="0" shapeId="0" xr:uid="{00000000-0006-0000-0000-0000F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5" authorId="0" shapeId="0" xr:uid="{00000000-0006-0000-0000-0000F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5" authorId="0" shapeId="0" xr:uid="{00000000-0006-0000-0000-0000F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95" authorId="0" shapeId="0" xr:uid="{00000000-0006-0000-0000-0000F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95" authorId="2" shapeId="0" xr:uid="{00000000-0006-0000-0000-0000F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N96" authorId="0" shapeId="0" xr:uid="{00000000-0006-0000-0000-0000F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6" authorId="0" shapeId="0" xr:uid="{00000000-0006-0000-0000-0000F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96" authorId="0" shapeId="0" xr:uid="{00000000-0006-0000-0000-0000F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96" authorId="0" shapeId="0" xr:uid="{00000000-0006-0000-0000-0000F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6" authorId="0" shapeId="0" xr:uid="{00000000-0006-0000-0000-0000F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97" authorId="3" shapeId="0" xr:uid="{00000000-0006-0000-0000-0000FC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Z98" authorId="3" shapeId="0" xr:uid="{00000000-0006-0000-0000-0000FD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N99" authorId="0" shapeId="0" xr:uid="{00000000-0006-0000-0000-0000F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9" authorId="0" shapeId="0" xr:uid="{00000000-0006-0000-0000-0000F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99" authorId="0" shapeId="0" xr:uid="{00000000-0006-0000-0000-000000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99" authorId="0" shapeId="0" xr:uid="{00000000-0006-0000-0000-000001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9" authorId="0" shapeId="0" xr:uid="{00000000-0006-0000-0000-000002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100" authorId="0" shapeId="0" xr:uid="{00000000-0006-0000-0000-000003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101" authorId="0" shapeId="0" xr:uid="{00000000-0006-0000-0000-000004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102" authorId="0" shapeId="0" xr:uid="{00000000-0006-0000-0000-00000501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Автор</author>
  </authors>
  <commentList>
    <comment ref="N14" authorId="0" shapeId="0" xr:uid="{5BBF60F1-305E-4772-9CBE-85F072A1F1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14" authorId="0" shapeId="0" xr:uid="{22B69BDC-5CF8-459D-8BF3-509B6CEC70E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14" authorId="0" shapeId="0" xr:uid="{4605DEF8-B73F-4BAF-9F5E-DA698C369AF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14" authorId="0" shapeId="0" xr:uid="{9699599A-3D0F-44A8-A838-1A9B9915955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14" authorId="0" shapeId="0" xr:uid="{411211FE-C735-4FBA-8BAA-BE3B8B0DEC3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15" authorId="0" shapeId="0" xr:uid="{55911FB3-B39A-4512-9A8F-7B79B900682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15" authorId="0" shapeId="0" xr:uid="{25E34C6B-0C32-4BC8-AE4B-4180632C2228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15" authorId="0" shapeId="0" xr:uid="{241BD873-4341-4C44-9C1B-5A28E9F5D74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R15" authorId="0" shapeId="0" xr:uid="{CC226E40-563C-4338-8D9F-1288DCF5419F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T15" authorId="0" shapeId="0" xr:uid="{6C256089-758D-4116-82EC-3833876D7471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  <r>
          <rPr>
            <sz val="14"/>
            <rFont val="Tahoma"/>
            <family val="2"/>
            <charset val="204"/>
          </rPr>
          <t xml:space="preserve">
</t>
        </r>
      </text>
    </comment>
    <comment ref="C16" authorId="1" shapeId="0" xr:uid="{93DCE137-824E-46D2-8199-08304E8091B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X16" authorId="0" shapeId="0" xr:uid="{1004268D-38D4-4DC9-84EB-FDA287F39604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Y16" authorId="0" shapeId="0" xr:uid="{98626D57-F976-4A70-9F8E-DC80F9DF33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Z16" authorId="0" shapeId="0" xr:uid="{B7B8F25B-7039-4E43-BFD4-6B445BAE361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17" authorId="1" shapeId="0" xr:uid="{879648EC-0D8C-49E3-B0A2-1EB6742C39B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N17" authorId="0" shapeId="0" xr:uid="{BD2586CE-00D4-405A-B8C9-B58827AD1EC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O17" authorId="0" shapeId="0" xr:uid="{0D70B134-CC66-4D99-8F18-AFFDFAB2641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7" authorId="0" shapeId="0" xr:uid="{B187E6F2-4CE6-44DF-B9F4-5A67112B11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R17" authorId="0" shapeId="0" xr:uid="{DEBE7F74-2333-48AC-B8A2-B58571F2C3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17" authorId="0" shapeId="0" xr:uid="{0405C0E4-B5A3-46EE-995B-15B263A9581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18" authorId="1" shapeId="0" xr:uid="{822D77C9-A28A-4239-AD6F-13476128ABB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18" authorId="0" shapeId="0" xr:uid="{88128B20-02B2-41F7-913A-DD82E601811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20" authorId="0" shapeId="0" xr:uid="{E5F0192A-DE1E-48D2-9D44-657E0B24472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0" authorId="0" shapeId="0" xr:uid="{75388BF9-24F4-4D30-A5B8-EC1CF64E19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20" authorId="0" shapeId="0" xr:uid="{499ACC78-AD67-4793-8FFC-174235BB28B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0" authorId="0" shapeId="0" xr:uid="{8721D323-4F27-48D1-9675-8EAFB72CC73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" authorId="0" shapeId="0" xr:uid="{485B1DB1-8449-454D-91E5-8BDA3E82888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C21" authorId="1" shapeId="0" xr:uid="{BC638065-B983-4508-AFF1-9B1754943054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V21" authorId="0" shapeId="0" xr:uid="{78C0BF89-12F5-49C3-94E5-AC6B1705F57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W21" authorId="0" shapeId="0" xr:uid="{3B0E9FCC-B647-465D-957B-9966D8DB2D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N22" authorId="0" shapeId="0" xr:uid="{2024BA2D-D41D-4DA7-97AA-1FB4BB38DF9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22" authorId="0" shapeId="0" xr:uid="{8E02D96D-1C70-4B8A-9249-00DD944BC8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2" authorId="0" shapeId="0" xr:uid="{7BDB8D99-B435-4100-BFB7-3A3EBBC645D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2" authorId="0" shapeId="0" xr:uid="{D5677704-CDFC-4BB4-BE5B-83BE9D58FCA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" authorId="0" shapeId="0" xr:uid="{6FD99C44-165F-4A90-87A3-8D799FC8FC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X22" authorId="0" shapeId="0" xr:uid="{A00811E3-F156-41C6-9C10-42A287591C1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22" authorId="0" shapeId="0" xr:uid="{BA903BE4-9804-46B2-BC37-A20CCCC4A76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W24" authorId="0" shapeId="0" xr:uid="{E7AE2FB0-AD0D-4078-97F3-CBA89BEEA3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5" authorId="0" shapeId="0" xr:uid="{E9265678-22A2-48D1-9789-D6DD967451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25" authorId="0" shapeId="0" xr:uid="{2616B353-D74C-43A7-98B7-092A5D2217B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5" authorId="0" shapeId="0" xr:uid="{9E5DD782-9291-4F08-BB11-106828FFACB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5" authorId="0" shapeId="0" xr:uid="{B2977021-71BD-4860-9672-57DA0202710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" authorId="0" shapeId="0" xr:uid="{0D7FDCDD-ED6C-41FD-9715-58E0EC6A50D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6" authorId="0" shapeId="0" xr:uid="{1887A39B-473C-4371-B2B0-26C846A75261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O26" authorId="0" shapeId="0" xr:uid="{7E66ECF3-9FD3-4A48-A904-51858DBFA3C9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X26" authorId="0" shapeId="0" xr:uid="{32E8500D-D8B1-42D2-AE69-D5745B52CC5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Y26" authorId="0" shapeId="0" xr:uid="{35EEB897-626F-477C-B9E7-8133936F09C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26" authorId="0" shapeId="0" xr:uid="{AC19CB7B-46A3-4EE6-AE0A-5FAFB2A1CA8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AA26" authorId="2" shapeId="0" xr:uid="{CCDE4DFB-DD2E-43B9-897E-61E6238F2974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F26" authorId="1" shapeId="0" xr:uid="{2D4F4F9D-10A8-4459-9873-94DCAE24D254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U27" authorId="0" shapeId="0" xr:uid="{D6B9DE6A-1C88-4084-A4DC-6E22BE1C080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8" authorId="0" shapeId="0" xr:uid="{ACB2FB05-4CEB-40C1-BB76-93A55F7F0A3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28" authorId="0" shapeId="0" xr:uid="{6CBF6CF3-286D-4E66-A72F-B4ADC08EC4D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8" authorId="0" shapeId="0" xr:uid="{3DBF9A2F-7BAD-4B04-B9B0-996BE3F489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8" authorId="0" shapeId="0" xr:uid="{EBD1E2A5-F0E2-432F-910D-DFE5BAA1D2C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8" authorId="2" shapeId="0" xr:uid="{91B6471E-5C21-4224-8D96-C0167B3C281C}">
      <text>
        <r>
          <rPr>
            <b/>
            <sz val="12"/>
            <rFont val="Tahoma"/>
            <family val="2"/>
            <charset val="204"/>
          </rPr>
          <t>User:</t>
        </r>
        <r>
          <rPr>
            <sz val="12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работы выполнены в 2019</t>
        </r>
      </text>
    </comment>
    <comment ref="T28" authorId="0" shapeId="0" xr:uid="{E7A53280-3CD2-43AA-BD01-3524BE54318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28" authorId="0" shapeId="0" xr:uid="{36E6C0F4-EB42-4E97-84E9-2BFE07C63F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подвал 2022-2024, СМР 8 135 112,42+СТР.К.122 026,69 =8 257 139, 11</t>
        </r>
      </text>
    </comment>
    <comment ref="Z28" authorId="0" shapeId="0" xr:uid="{7F6D889E-33DC-4A58-8085-9CDD59364F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28" authorId="2" shapeId="0" xr:uid="{53D98D05-C0E2-4492-851E-055E365857F6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ВДИС </t>
        </r>
        <r>
          <rPr>
            <sz val="14"/>
            <rFont val="Tahoma"/>
            <family val="2"/>
            <charset val="204"/>
          </rPr>
          <t>- 2 369 395,2                  ПОДВАЛ - 1 000 114,80</t>
        </r>
      </text>
    </comment>
    <comment ref="AD28" authorId="0" shapeId="0" xr:uid="{191FF813-5DA8-4E56-80E8-C7F499ECF7F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F28" authorId="1" shapeId="0" xr:uid="{EB7C2CC5-24B2-4486-B9FC-2A8B41137433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C29" authorId="1" shapeId="0" xr:uid="{AEF6AB34-7FD5-4EEE-AAB5-BD0B1CDA5E6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29" authorId="0" shapeId="0" xr:uid="{687B21EC-551E-44CE-A2AD-CE832C1BD16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0" authorId="1" shapeId="0" xr:uid="{60AB9ABE-31EE-4023-809B-E1D4B6DF879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0" authorId="0" shapeId="0" xr:uid="{A1316C50-81AE-4B5C-8388-D8C06305E92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1" authorId="1" shapeId="0" xr:uid="{B5974D80-55DB-4E55-9D87-E854F7A23BD4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31" authorId="0" shapeId="0" xr:uid="{C3751A77-7952-4D86-B8D5-2059AF514D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2" authorId="1" shapeId="0" xr:uid="{C837C839-9D43-47CB-91E1-4BB388F344FD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2" authorId="0" shapeId="0" xr:uid="{C14A45ED-413E-4FC1-8D86-6C3373B5BB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3" authorId="1" shapeId="0" xr:uid="{1815933D-7AD9-49B1-AB16-F330B92BA91B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W33" authorId="0" shapeId="0" xr:uid="{09CEA73A-EC6B-4F3C-AE8F-D1E6362590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4" authorId="1" shapeId="0" xr:uid="{4AEC6A16-E10B-49D3-9641-7CB7F9F251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4" authorId="0" shapeId="0" xr:uid="{CB1A8C09-A9A4-4613-B39E-F493A107EF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5" authorId="1" shapeId="0" xr:uid="{1E806A7F-644F-466B-99EC-0C6D179714EA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5" authorId="0" shapeId="0" xr:uid="{96764037-83BF-4ED8-9616-EBA409BEE74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6" authorId="1" shapeId="0" xr:uid="{7766C578-12A9-45C9-A7E1-677CE56DBD64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6" authorId="0" shapeId="0" xr:uid="{C17CBB65-5B3E-4424-9ADE-FD0CDC438FC2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C37" authorId="1" shapeId="0" xr:uid="{F9ABEE41-8180-4716-BC55-F7560730A1C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W37" authorId="0" shapeId="0" xr:uid="{92E714D5-B97D-4319-8613-4C370FAC04A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39" authorId="1" shapeId="0" xr:uid="{05F2E631-CDA6-4B4A-9622-A612D42D0FD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39" authorId="0" shapeId="0" xr:uid="{ABA09B2E-B7FE-4AEB-B0F9-1F0857FF35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C40" authorId="1" shapeId="0" xr:uid="{0E2C7E6C-7E96-42D3-90B7-D59C4F13769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40" authorId="0" shapeId="0" xr:uid="{B7F6B651-C631-489B-9418-56630101C4E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X41" authorId="0" shapeId="0" xr:uid="{7159C01A-8D35-45A2-9936-87E4A5521DC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C42" authorId="1" shapeId="0" xr:uid="{05530843-96FA-4E05-800D-C46C39EE63A9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Y42" authorId="0" shapeId="0" xr:uid="{AE4B447F-A987-42FA-A037-B32F0B6E2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M45" authorId="0" shapeId="0" xr:uid="{37C6FE11-4361-4DF3-A150-BCA13C0676B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45" authorId="0" shapeId="0" xr:uid="{8EB6888E-4181-4FF0-9673-8439EB0E8C07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45" authorId="3" shapeId="0" xr:uid="{83CD48D9-EF04-4893-8761-CD05441681EE}">
      <text>
        <r>
          <rPr>
            <b/>
            <sz val="24"/>
            <rFont val="Tahoma"/>
            <family val="2"/>
            <charset val="204"/>
          </rPr>
          <t>ЯКУБИЦКАЯ:</t>
        </r>
        <r>
          <rPr>
            <sz val="24"/>
            <rFont val="Tahoma"/>
            <family val="2"/>
            <charset val="204"/>
          </rPr>
          <t xml:space="preserve">
ремонт ТС с ИТП в 2020</t>
        </r>
      </text>
    </comment>
    <comment ref="Q45" authorId="0" shapeId="0" xr:uid="{A740A6B4-AF2C-4912-A751-E8B125796F4D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45" authorId="0" shapeId="0" xr:uid="{EA11D4C1-4C1E-4377-8038-F34D6D5CFCB6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46" authorId="0" shapeId="0" xr:uid="{A35D59DB-54E4-4563-B033-123A29641CD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46" authorId="0" shapeId="0" xr:uid="{5700EA5B-2526-407E-8BFF-7F178FF3D38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6" authorId="0" shapeId="0" xr:uid="{BB9AFB55-A4AE-4970-9030-DFCDACF314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6" authorId="0" shapeId="0" xr:uid="{1A210508-E6A2-42AA-B95C-F0ADD90DA6D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46" authorId="0" shapeId="0" xr:uid="{7C727FB8-1840-40E9-A74E-713EF1042F6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46" authorId="0" shapeId="0" xr:uid="{653D0EEF-A28A-4F1D-B2AD-9F1A9D622DD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Z46" authorId="0" shapeId="0" xr:uid="{7CD2243E-189D-4CC8-A468-F5CF0F52F87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47" authorId="0" shapeId="0" xr:uid="{A8A95FFE-C3E8-40F2-9997-163016F25DD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47" authorId="0" shapeId="0" xr:uid="{E419161A-8149-4C6E-B412-26B424442FF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47" authorId="3" shapeId="0" xr:uid="{0644D374-529C-406A-BCA4-BB005A84FCBD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N48" authorId="0" shapeId="0" xr:uid="{D34C03D8-93C6-4D3D-9BF4-8A681E246F2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48" authorId="0" shapeId="0" xr:uid="{4214160D-81E2-4F9C-8839-4A8AD8BBDB4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48" authorId="0" shapeId="0" xr:uid="{C49D2C69-AC97-4EB6-836F-FF7E77ED9C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" authorId="0" shapeId="0" xr:uid="{4A626BF6-B5EB-450A-A4E4-E749438115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48" authorId="0" shapeId="0" xr:uid="{50200400-2E1A-4A2E-B436-D06AFA04B5F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48" authorId="0" shapeId="0" xr:uid="{F6931DFF-5DD7-4FF6-848F-64AE4E96EC4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Z48" authorId="3" shapeId="0" xr:uid="{BE921DFA-AF4A-4A15-9D97-1C6BAACF789E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C49" authorId="3" shapeId="0" xr:uid="{E52F1D75-2827-48F2-AF4C-2F96F69260FD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N49" authorId="0" shapeId="0" xr:uid="{C3E4BFD9-0516-4C5E-92C1-6A9B74509FC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49" authorId="0" shapeId="0" xr:uid="{B01E01E8-D76F-45CF-AF36-1D2EEBFF685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9" authorId="0" shapeId="0" xr:uid="{A7684D57-CB39-499D-813E-346D44537F2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49" authorId="0" shapeId="0" xr:uid="{66D57A16-1DA3-49CC-AEDE-B72324CD637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49" authorId="0" shapeId="0" xr:uid="{AD72BE0A-C029-45FC-8EF2-D6B1028D87B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X49" authorId="0" shapeId="0" xr:uid="{4C943567-BC0A-430C-A96E-B190078E6753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Y49" authorId="0" shapeId="0" xr:uid="{1EC27DBE-B654-46C9-A195-61B00BFFB88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49" authorId="0" shapeId="0" xr:uid="{B69C8D06-3553-4281-B64F-7BAE4BD086F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50" authorId="3" shapeId="0" xr:uid="{726360B8-E844-40DF-B357-EE46C7E9E36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N51" authorId="0" shapeId="0" xr:uid="{4197F4D9-188D-46A0-827B-CCB506CDDF5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1" authorId="0" shapeId="0" xr:uid="{3A35B8DD-3659-4C24-8B2D-58B6724674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1" authorId="0" shapeId="0" xr:uid="{A910DAF8-3BD6-41E3-B2EE-07D555B07B5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" authorId="0" shapeId="0" xr:uid="{7924DC1F-C634-41EA-990E-F4CCD86B1A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51" authorId="0" shapeId="0" xr:uid="{8E331B33-D897-47CE-918B-EA3111C9A04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52" authorId="0" shapeId="0" xr:uid="{31373156-D679-4227-8465-25A3B6F37D2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2" authorId="0" shapeId="0" xr:uid="{EB303263-C39F-4850-896F-7F86860CC77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2" authorId="0" shapeId="0" xr:uid="{3BD20704-3D0C-4708-A516-2CB62E5BA9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2" authorId="0" shapeId="0" xr:uid="{DEB7AF24-C2BD-4464-BBB3-2E5EDD95F39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2" authorId="0" shapeId="0" xr:uid="{0AB68AC8-35A7-43D7-8B0B-654B6053E9A9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</t>
        </r>
      </text>
    </comment>
    <comment ref="T52" authorId="0" shapeId="0" xr:uid="{7114FFD4-25F9-4931-8708-28C6BE0CEBC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" authorId="3" shapeId="0" xr:uid="{C93A1D87-5CEA-4C98-8228-CE331A0B3B23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N53" authorId="0" shapeId="0" xr:uid="{66BF492D-DF06-4528-8C7B-C641D37BBD3A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53" authorId="0" shapeId="0" xr:uid="{78F5BB78-D2E6-438B-81C8-AC44E96C451B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53" authorId="0" shapeId="0" xr:uid="{925086E6-A9DC-4F88-94DB-50E99682FE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3" authorId="0" shapeId="0" xr:uid="{D60D1B12-DA17-4138-880E-36844807951E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53" authorId="0" shapeId="0" xr:uid="{9BC5556F-5B11-49AA-8873-0F8A559ABD77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54" authorId="0" shapeId="0" xr:uid="{2B26F817-7E77-4898-92FB-16854B0CB4A4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O54" authorId="0" shapeId="0" xr:uid="{A6A3A21E-E7BC-49DD-9582-4D84B1C10DE1}">
      <text>
        <r>
          <rPr>
            <b/>
            <sz val="9"/>
            <rFont val="Tahoma"/>
            <family val="2"/>
            <charset val="204"/>
          </rPr>
          <t>Я</t>
        </r>
        <r>
          <rPr>
            <b/>
            <sz val="18"/>
            <rFont val="Tahoma"/>
            <family val="2"/>
            <charset val="204"/>
          </rPr>
          <t>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54" authorId="0" shapeId="0" xr:uid="{B1720BA5-9657-4000-9DA9-A2918CD20816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4" authorId="0" shapeId="0" xr:uid="{CEC9F42C-4B9D-4A5D-90B9-BF5078858B11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54" authorId="0" shapeId="0" xr:uid="{C5CFEDA3-E547-415E-B0D7-62CDC0573325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 </t>
        </r>
      </text>
    </comment>
    <comment ref="T54" authorId="0" shapeId="0" xr:uid="{81447A98-05E2-46A0-883F-4E402F16CFC0}">
      <text>
        <r>
          <rPr>
            <b/>
            <sz val="9"/>
            <rFont val="Tahoma"/>
            <family val="2"/>
            <charset val="204"/>
          </rPr>
          <t>Я</t>
        </r>
        <r>
          <rPr>
            <b/>
            <sz val="16"/>
            <rFont val="Tahoma"/>
            <family val="2"/>
            <charset val="204"/>
          </rPr>
          <t>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X54" authorId="0" shapeId="0" xr:uid="{84A093C0-A606-417D-BA0B-2A177B123A8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54" authorId="3" shapeId="0" xr:uid="{30B23D8D-02FD-4CC4-8E82-BFDE5C5F790C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AA54" authorId="2" shapeId="0" xr:uid="{A204E25F-0FC1-40BA-B059-4F6702094FA6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N55" authorId="0" shapeId="0" xr:uid="{1B030647-ECF3-42CD-B383-A395976B073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O55" authorId="0" shapeId="0" xr:uid="{B41DD9EE-7A55-4872-992D-DA2FE4ADF78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55" authorId="0" shapeId="0" xr:uid="{F8BBE850-90B0-44E1-8A73-D425F2BB6FC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55" authorId="0" shapeId="0" xr:uid="{077DF864-A457-495D-9D50-C51D33DA702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5" authorId="0" shapeId="0" xr:uid="{B5231A26-3BDC-4B27-B0DF-CA77DED49C3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56" authorId="0" shapeId="0" xr:uid="{50C5B597-38C3-42F7-93C0-FD58E3E21B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AA56" authorId="2" shapeId="0" xr:uid="{A27DBD02-BF8B-49C9-8679-3C90AD9FEE2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N57" authorId="0" shapeId="0" xr:uid="{2CAED9C3-370F-4650-BE6F-CED6F55130A9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O57" authorId="0" shapeId="0" xr:uid="{BC64C3BB-1522-4DB3-8C70-8CA03B032E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7" authorId="0" shapeId="0" xr:uid="{62903063-CE41-403B-BA1F-3A1AFEA5DB78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57" authorId="0" shapeId="0" xr:uid="{F6D648EA-3262-421A-8283-23236B6CB6C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57" authorId="0" shapeId="0" xr:uid="{D3B6C014-4735-4DEE-8212-3DB4128CA48F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W58" authorId="0" shapeId="0" xr:uid="{AF3487F7-5FAA-4D27-998F-A9C47C4C422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59" authorId="0" shapeId="0" xr:uid="{F3FBAB57-FE7D-49E0-876D-7E86057A589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59" authorId="0" shapeId="0" xr:uid="{2780AAF1-DCC1-4CE6-A6E7-8D9A66BF10D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59" authorId="0" shapeId="0" xr:uid="{FD540683-619A-4D0F-B01B-9D26E0E6BAD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9" authorId="0" shapeId="0" xr:uid="{0FF4CBEE-9841-4099-9C82-0C3EEA5C5E8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59" authorId="0" shapeId="0" xr:uid="{289BD388-2688-4D61-9F62-F22C623B38A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59" authorId="0" shapeId="0" xr:uid="{1432D2CC-7F80-43E3-9B39-BC02B0AB859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9" authorId="0" shapeId="0" xr:uid="{27A33303-3A30-466E-9915-22CFA335851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60" authorId="0" shapeId="0" xr:uid="{C32FF490-6232-4357-9579-D0325E3EFED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60" authorId="0" shapeId="0" xr:uid="{F409E1CB-028B-496A-A3C9-4F86B454024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60" authorId="0" shapeId="0" xr:uid="{9F45BE10-1DE6-4247-BF19-669E3CD6DC7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AA60" authorId="2" shapeId="0" xr:uid="{9E5A3EDB-C119-487E-BACE-70238E5C2237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N61" authorId="0" shapeId="0" xr:uid="{F1966AED-C075-4B3A-8D54-E2D6090A96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61" authorId="0" shapeId="0" xr:uid="{0DB22243-EE52-498E-BF8B-87B278073A9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61" authorId="0" shapeId="0" xr:uid="{CCAF1A77-D991-4F51-A535-462FC9E78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1" authorId="0" shapeId="0" xr:uid="{95730292-A514-47D8-9D93-1CA1818651E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61" authorId="0" shapeId="0" xr:uid="{ADFE1D18-40C9-4FFE-9313-DDC109DD99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61" authorId="0" shapeId="0" xr:uid="{293F38AC-7BA8-431B-A96A-67AC11D730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61" authorId="3" shapeId="0" xr:uid="{3F82185D-7D40-41F3-BB9C-E1F56C0427D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AA61" authorId="2" shapeId="0" xr:uid="{B92BCA9F-EF3A-47B7-9386-A19FF248ACF2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N64" authorId="0" shapeId="0" xr:uid="{4BCE31DA-ECA5-4B08-BB56-42C38BD02B2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64" authorId="0" shapeId="0" xr:uid="{BD71D232-AAFC-4CC5-A53E-A59C9A93C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64" authorId="0" shapeId="0" xr:uid="{6443215C-CCE6-46CC-9ECC-C1EEC216042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64" authorId="0" shapeId="0" xr:uid="{C57C2700-6D67-4C38-9F46-BD4712CAE82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64" authorId="0" shapeId="0" xr:uid="{FB0B1083-5052-4D02-8A9C-339885E3D6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67" authorId="0" shapeId="0" xr:uid="{3A0768CB-C9A4-4C7A-AE16-8252A808D6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O67" authorId="0" shapeId="0" xr:uid="{352A8B1D-7081-46BF-B2C8-834FFB9BE25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67" authorId="0" shapeId="0" xr:uid="{4D085FED-185C-4EC4-AB64-72EBD307FC1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67" authorId="0" shapeId="0" xr:uid="{870A5128-763F-413E-B651-6C0CED6213E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67" authorId="0" shapeId="0" xr:uid="{257A2341-4341-4514-8461-F9CA3A8FA14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68" authorId="0" shapeId="0" xr:uid="{01BC5C72-BCB8-42CA-9821-8D9BF4611593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W70" authorId="0" shapeId="0" xr:uid="{2B0D3348-9A97-488C-A369-9BE850C13C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71" authorId="0" shapeId="0" xr:uid="{1DEA8629-4BE6-4EC7-9E67-2E8E8A923E4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N72" authorId="0" shapeId="0" xr:uid="{1909BF6F-2FFB-4F1A-B07C-6EE2956DA2E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N73" authorId="0" shapeId="0" xr:uid="{51DAFBA0-EE0E-49BC-96D6-A0BC691C582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73" authorId="0" shapeId="0" xr:uid="{E072879C-7CB4-4E6C-8D5E-35BE3480169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73" authorId="0" shapeId="0" xr:uid="{6DC06A29-D642-41B3-AD9C-057DB4ACB4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73" authorId="0" shapeId="0" xr:uid="{AFE9A754-9979-4DFA-8F8E-BFCAD64E802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73" authorId="0" shapeId="0" xr:uid="{DD6453BC-F44B-4053-B9E6-D8852A5F379A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N74" authorId="0" shapeId="0" xr:uid="{2CDCEA2E-66FD-44B6-B503-4769DDF3D66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O74" authorId="0" shapeId="0" xr:uid="{A61450FD-6EE3-4C83-9DA4-8F2A7709C43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4" authorId="0" shapeId="0" xr:uid="{DFAC2C79-2FBD-4A44-91BC-0EFDD853858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R74" authorId="0" shapeId="0" xr:uid="{9B0CBDA1-E525-4D35-ACF5-5957C1D0B1A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74" authorId="0" shapeId="0" xr:uid="{AB9EE678-261C-427B-B66F-40842B368FC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AA74" authorId="2" shapeId="0" xr:uid="{4A7E5329-FBBF-4615-8ED5-D355B846182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X75" authorId="0" shapeId="0" xr:uid="{8B4C71A7-CD8E-4345-9690-83349352ACF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75" authorId="0" shapeId="0" xr:uid="{2433DF82-0618-4B6D-9081-B7C3F053D08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Z75" authorId="0" shapeId="0" xr:uid="{C1EB8206-2244-4C80-B592-5F6F26E4618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76" authorId="0" shapeId="0" xr:uid="{E42ED6AB-EC5D-412C-85E4-5B3D51AD807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77" authorId="0" shapeId="0" xr:uid="{095BEF10-D324-4274-95DE-EEEB487E1E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O77" authorId="0" shapeId="0" xr:uid="{B1D9C519-325F-488C-B65D-5826515D1D5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77" authorId="0" shapeId="0" xr:uid="{2A34995B-7669-4EB5-A239-BC6E7470BC3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77" authorId="0" shapeId="0" xr:uid="{A535251B-9652-4817-8ECF-C702CF031B3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77" authorId="0" shapeId="0" xr:uid="{CB0865B8-08E4-424E-8FF4-7B5B044BCB9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78" authorId="0" shapeId="0" xr:uid="{A394FB0C-332D-44AE-9B3E-47F76BF1107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78" authorId="2" shapeId="0" xr:uid="{D2B5EC94-771C-4C62-8DBD-B70662AF99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Z78" authorId="0" shapeId="0" xr:uid="{6544C211-F55F-4E1D-BF41-619C065E95C2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W79" authorId="0" shapeId="0" xr:uid="{F730728F-4AD5-4D14-A03F-FFBCB3B9B8B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W80" authorId="0" shapeId="0" xr:uid="{700805AB-6477-4437-8F77-E10A81E209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81" authorId="0" shapeId="0" xr:uid="{00A4826F-7FED-4EE1-B175-63197F7EA61B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N82" authorId="0" shapeId="0" xr:uid="{3C4BD9A3-A8CE-41B7-AC08-147D4B115D1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82" authorId="0" shapeId="0" xr:uid="{8B01B7BD-3577-4D6B-8F3D-6F86DB7F23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82" authorId="0" shapeId="0" xr:uid="{6663762C-38AB-4A6C-BE9E-548A2FC7E27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83" authorId="0" shapeId="0" xr:uid="{6462417A-E666-4103-8D53-AC07F5C7980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83" authorId="2" shapeId="0" xr:uid="{D7A8BEAA-966B-4D63-934F-9A08BB27D4E2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W84" authorId="0" shapeId="0" xr:uid="{6DB91D4D-A349-43E0-A4BF-145DD762E7E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85" authorId="0" shapeId="0" xr:uid="{AE027A00-9C17-44E8-A1E0-557024CAB94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X85" authorId="0" shapeId="0" xr:uid="{8A465F59-8667-4AED-825F-C3229D76535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85" authorId="0" shapeId="0" xr:uid="{A0468139-B0B0-40FC-A430-260F411E250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85" authorId="3" shapeId="0" xr:uid="{0734AFA9-7904-4259-84E1-F84CB657B438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Y86" authorId="0" shapeId="0" xr:uid="{E961B76B-527C-4F53-9918-1255270D78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Y87" authorId="0" shapeId="0" xr:uid="{12A40687-CF39-40F5-9F36-96D593473CD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X89" authorId="0" shapeId="0" xr:uid="{5127EB22-5F0C-4F90-81FC-722522D49B0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89" authorId="0" shapeId="0" xr:uid="{D2A95A34-ABC8-4627-850E-D44331F121D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89" authorId="3" shapeId="0" xr:uid="{4D63B336-CEA1-4F34-B281-370480E5BF2C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X90" authorId="0" shapeId="0" xr:uid="{0EF9EA98-C7FC-4B56-9177-BF9A0165AD7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0" authorId="0" shapeId="0" xr:uid="{44EC1029-FF29-4D73-AF6E-3EADA7D145E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90" authorId="0" shapeId="0" xr:uid="{3C73E32B-0997-49CE-9DF7-8187A49ABB3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1" authorId="0" shapeId="0" xr:uid="{244807CB-80B4-4894-B490-D78E461FC72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92" authorId="0" shapeId="0" xr:uid="{71CE0464-D55E-428C-9737-51E7EABF8AC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93" authorId="0" shapeId="0" xr:uid="{59A894A2-6F7F-4004-B002-FF126FF59FFA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ВДП, т.к.при выполнении КР системы ГВС в 2016 году ВДП не менялся</t>
        </r>
      </text>
    </comment>
    <comment ref="N95" authorId="0" shapeId="0" xr:uid="{317C7071-70F8-4DCB-8A08-6D45598F33D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5" authorId="0" shapeId="0" xr:uid="{CBCC5E7F-2FE8-4239-9B0B-00B492DD496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Y95" authorId="0" shapeId="0" xr:uid="{581215E5-2117-4BD1-81B1-534A1152319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Z95" authorId="0" shapeId="0" xr:uid="{6990731C-9B0F-427B-96C1-4A6AE95FEC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AA95" authorId="2" shapeId="0" xr:uid="{D3E6E874-B559-4195-B45D-DB5368E2F54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N96" authorId="0" shapeId="0" xr:uid="{A56B5A06-82B3-4FA1-AF73-171183CBAED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6" authorId="0" shapeId="0" xr:uid="{9105630F-8D91-4800-BF1B-0173DD170B6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96" authorId="0" shapeId="0" xr:uid="{CBA5AA35-A4BC-4C4E-8E09-C6E730C01B6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96" authorId="0" shapeId="0" xr:uid="{2291727B-2DAA-42D6-8E40-6FAF719C9EC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6" authorId="0" shapeId="0" xr:uid="{B0CC06C9-769F-41C4-A7FF-802CF28D72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97" authorId="3" shapeId="0" xr:uid="{1FDDBE59-BAF2-4686-A021-65A0A2F4BCDE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Z98" authorId="3" shapeId="0" xr:uid="{95599FA9-AED2-4B6E-B3C8-881997A80EFA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N99" authorId="0" shapeId="0" xr:uid="{FC1FE563-2CB5-45D9-ACCF-902DC266C5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O99" authorId="0" shapeId="0" xr:uid="{10C94AE6-33A1-41D5-9FF4-111DE29264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99" authorId="0" shapeId="0" xr:uid="{9D8ADDE4-02DD-4176-8998-1C00C8287D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99" authorId="0" shapeId="0" xr:uid="{C175AE43-A826-4CE2-B374-13B309A92D7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99" authorId="0" shapeId="0" xr:uid="{CDC61486-7399-465E-B293-AD86CBAFF0A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100" authorId="0" shapeId="0" xr:uid="{65CB4B6C-B1E3-48B5-B535-C289DE8389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W101" authorId="0" shapeId="0" xr:uid="{47F114D0-B2A3-46D1-90E7-FCB390A384E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W102" authorId="0" shapeId="0" xr:uid="{57689259-CCDC-417A-AC85-97F23927892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<sst xmlns="http://schemas.openxmlformats.org/spreadsheetml/2006/main" count="1018" uniqueCount="217">
  <si>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</si>
  <si>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</si>
  <si>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</si>
  <si>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</si>
  <si>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</si>
  <si>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</si>
  <si>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</si>
  <si>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</si>
  <si>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</si>
  <si>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</si>
  <si>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</si>
  <si>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финнасирования</t>
  </si>
  <si>
    <t>Плановый год начала выполнения работ</t>
  </si>
  <si>
    <t>Плановый год завершения выполнения работ</t>
  </si>
  <si>
    <t>ремонт внутридомовых инженерных систем</t>
  </si>
  <si>
    <t xml:space="preserve">Л                             (руб.) </t>
  </si>
  <si>
    <t>К                                 (руб.)</t>
  </si>
  <si>
    <t>РФ                        (руб.)</t>
  </si>
  <si>
    <t>всего, в том числе:</t>
  </si>
  <si>
    <t>ЭЛ                          (руб.)</t>
  </si>
  <si>
    <t>ТС                              (руб.)</t>
  </si>
  <si>
    <t>ХВС                     (руб.)</t>
  </si>
  <si>
    <t>Установка ВДП, включая регулятор температуры       (руб.)</t>
  </si>
  <si>
    <t>всего:                           (руб.)</t>
  </si>
  <si>
    <t>за счет средств собственников помещений в МКД                                     (руб.)</t>
  </si>
  <si>
    <t>Мурманск</t>
  </si>
  <si>
    <t>*</t>
  </si>
  <si>
    <t>УО</t>
  </si>
  <si>
    <t>НКО "ФКР МО"</t>
  </si>
  <si>
    <t>ОО</t>
  </si>
  <si>
    <t>442</t>
  </si>
  <si>
    <t>114</t>
  </si>
  <si>
    <t>162</t>
  </si>
  <si>
    <t>246</t>
  </si>
  <si>
    <t>126</t>
  </si>
  <si>
    <t>2587,6</t>
  </si>
  <si>
    <t>85</t>
  </si>
  <si>
    <t>ТСН</t>
  </si>
  <si>
    <t>64</t>
  </si>
  <si>
    <t>ТСЖ</t>
  </si>
  <si>
    <t>8282,6</t>
  </si>
  <si>
    <t>254</t>
  </si>
  <si>
    <t>2499,7</t>
  </si>
  <si>
    <t>2992,4</t>
  </si>
  <si>
    <t>893,4</t>
  </si>
  <si>
    <t>2530,4</t>
  </si>
  <si>
    <t>949,6</t>
  </si>
  <si>
    <t>3224,4</t>
  </si>
  <si>
    <t>199</t>
  </si>
  <si>
    <t>3150,6</t>
  </si>
  <si>
    <t>294</t>
  </si>
  <si>
    <t>Стоимость работ капитального ремонта внутридомовых инженерных систем (руб.)</t>
  </si>
  <si>
    <t xml:space="preserve">Л                          (руб.)  </t>
  </si>
  <si>
    <t>РФ                      (руб.)</t>
  </si>
  <si>
    <t>ПД                          (руб.)</t>
  </si>
  <si>
    <t xml:space="preserve">Плановые периоды выполнения работ </t>
  </si>
  <si>
    <t xml:space="preserve">всего, в том числе:  </t>
  </si>
  <si>
    <t xml:space="preserve">ЭЛ                    </t>
  </si>
  <si>
    <t xml:space="preserve">ТС                                </t>
  </si>
  <si>
    <t xml:space="preserve">ИТП  </t>
  </si>
  <si>
    <t xml:space="preserve">ХВС                </t>
  </si>
  <si>
    <t xml:space="preserve">ГВС                </t>
  </si>
  <si>
    <t xml:space="preserve">ВДП               </t>
  </si>
  <si>
    <t xml:space="preserve">В                          </t>
  </si>
  <si>
    <t xml:space="preserve">ГС                </t>
  </si>
  <si>
    <t>Условные обозначения:</t>
  </si>
  <si>
    <t>* – сведения отсутствуют;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</si>
  <si>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</si>
  <si>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
</t>
  </si>
  <si>
    <t>ИТП –  ремонт или замена оборудования индивидуальных тепловых пунктов;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</si>
  <si>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</si>
  <si>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</si>
  <si>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>В – ремонт внутридомовых инженерных систем водоотведения (канализация);</t>
  </si>
  <si>
    <t xml:space="preserve">ГС – ремонт внутридомовых инженерных систем газоснабжения; 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</si>
  <si>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</si>
  <si>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</si>
  <si>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 xml:space="preserve">П – ремонт подвальных помещений, относящихся к общему имуществу в многоквартирном доме;  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</si>
  <si>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</si>
  <si>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</si>
  <si>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 xml:space="preserve">ПД – выполнение работ по разработке проектной документации на проведение капитального ремонта общего имущества многоквартирных домов;
</t>
  </si>
  <si>
    <t>СК – строительный контроль.</t>
  </si>
  <si>
    <t xml:space="preserve"> Приложение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</si>
  <si>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</si>
  <si>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</si>
  <si>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 xml:space="preserve">Мурманск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</si>
  <si>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</si>
  <si>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ГС                            (руб.)</t>
  </si>
  <si>
    <t>Ф                               (руб.)</t>
  </si>
  <si>
    <t>ПД                         (руб.)</t>
  </si>
  <si>
    <t>СК                       (руб.)</t>
  </si>
  <si>
    <t>В                          (руб.)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</si>
  <si>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2014-2043 годы муниципальным образованием город Мурманск на 2023-2025 годы                                                             </t>
  </si>
  <si>
    <t>Ф                           (руб.)</t>
  </si>
  <si>
    <t xml:space="preserve">за счет средств областного бюджета (руб.) </t>
  </si>
  <si>
    <t xml:space="preserve">за счет средств местного бюджета (руб.) </t>
  </si>
  <si>
    <t>К                           (руб.)</t>
  </si>
  <si>
    <t>П                            (руб.)</t>
  </si>
  <si>
    <t>СК                        (руб.)</t>
  </si>
  <si>
    <t>ГВС                                 (руб.)</t>
  </si>
  <si>
    <t>П                                    (руб.)</t>
  </si>
  <si>
    <t xml:space="preserve">                  </t>
  </si>
  <si>
    <t xml:space="preserve">         </t>
  </si>
  <si>
    <t>К                                     (руб.)</t>
  </si>
  <si>
    <t>П                                   (руб.)</t>
  </si>
  <si>
    <t>К                                    (руб.)</t>
  </si>
  <si>
    <t>ИТП                              (руб.)</t>
  </si>
  <si>
    <t>СК                                (руб.)</t>
  </si>
  <si>
    <t>ул. Академика Павлова,               д. 2</t>
  </si>
  <si>
    <t>ул. Академика Павлова,                     д. 59</t>
  </si>
  <si>
    <t>ул. Алексея Хлобыстова,                 д. 20 корп. 2</t>
  </si>
  <si>
    <t>ул. Володарского,                        д. 3</t>
  </si>
  <si>
    <t>ул. Володарского,                          д. 13</t>
  </si>
  <si>
    <t>ул. Капитана Копытова,                   д. 41</t>
  </si>
  <si>
    <t>ул. Карла Либкнехта,                          д. 21/22</t>
  </si>
  <si>
    <t xml:space="preserve">ул. Коммуны,                              д. 18 </t>
  </si>
  <si>
    <t>ул. Коммуны,                              д. 20</t>
  </si>
  <si>
    <t>ул. Комсомольская,                               д. 3А</t>
  </si>
  <si>
    <t>пр. Ленина,                                     д. 67</t>
  </si>
  <si>
    <t>пр. Ленина,                                           д. 79</t>
  </si>
  <si>
    <t xml:space="preserve">пр. Ленина,                                       д. 80 </t>
  </si>
  <si>
    <t>ул. Ломоносова,                                                               д. 13</t>
  </si>
  <si>
    <t>ул. Морская,                                     д. 5</t>
  </si>
  <si>
    <t>ул. Октябрьская,                            д. 22</t>
  </si>
  <si>
    <t>ул. Олега Кошевого,                         д. 4</t>
  </si>
  <si>
    <t>ул. Олега Кошевого,                    д. 6 корп. 1</t>
  </si>
  <si>
    <t>ул. Олега Кошевого,                      д. 16 корп. 2</t>
  </si>
  <si>
    <t>ул. Планерная,                             д. 3</t>
  </si>
  <si>
    <t>ул. Полярный Круг,                    д. 2</t>
  </si>
  <si>
    <t>пер. Русанова,                                 д. 3</t>
  </si>
  <si>
    <t>пр-д Рыбный,                                   д. 4</t>
  </si>
  <si>
    <t>ул. Свердлова,                               д. 6 корп. 3</t>
  </si>
  <si>
    <t>ул. Свердлова,                           д. 54</t>
  </si>
  <si>
    <t>ул. Софьи Перовской,                  д. 10</t>
  </si>
  <si>
    <t>Итого по муниципальному образованию                  город Мурманск на 2023 год</t>
  </si>
  <si>
    <t>ул. Володарского,                      д. 7</t>
  </si>
  <si>
    <t>ул. Карла Либкнехта,                   д. 23</t>
  </si>
  <si>
    <t>ул. Карла Либкнехта,                    д. 25</t>
  </si>
  <si>
    <t>ул. Коммуны,                           д. 20</t>
  </si>
  <si>
    <t xml:space="preserve">пр. Ленина,                                   д. 81 </t>
  </si>
  <si>
    <t xml:space="preserve">пр. Ленина,                                  д. 83 </t>
  </si>
  <si>
    <t xml:space="preserve">пр. Ленина,                                      д. 85 </t>
  </si>
  <si>
    <t>пр. Ленина,                                         д. 92</t>
  </si>
  <si>
    <t>пр. Ленина,                                         д. 94</t>
  </si>
  <si>
    <t>пр. Ленина,                                       д. 95</t>
  </si>
  <si>
    <t>ул. Октябрьская,                             д. 1</t>
  </si>
  <si>
    <t>ул. Октябрьская,                               д. 17</t>
  </si>
  <si>
    <t>ул. Сафонова,                                 д. 32/19</t>
  </si>
  <si>
    <t>пер. Терский,                                   д. 3</t>
  </si>
  <si>
    <t>пер. Терский,                                        д. 9</t>
  </si>
  <si>
    <t>ул. Челюскинцев,                     д. 7</t>
  </si>
  <si>
    <t>ул. Челюскинцев,                              д. 20</t>
  </si>
  <si>
    <t>Итого по муниципальному образованию          город Мурманск на 2024 год</t>
  </si>
  <si>
    <t>ул. Александра Невского,              д. 88</t>
  </si>
  <si>
    <t>ул. Алексея Генералова,              д. 2/18</t>
  </si>
  <si>
    <t>ул. Володарского,                    д. 10</t>
  </si>
  <si>
    <t>ул. Володарского,                       д. 12</t>
  </si>
  <si>
    <t>ул. Карла Либкнехта,                д. 27</t>
  </si>
  <si>
    <t>ул. Карла Либкнехта,                    д. 42</t>
  </si>
  <si>
    <t>пр. Ленина,                                  д. 68</t>
  </si>
  <si>
    <t>пр. Ленина,                                  д. 100</t>
  </si>
  <si>
    <t>ул.Нахимова,                           д. 11</t>
  </si>
  <si>
    <t>ул.Нахимова,                                  д. 25</t>
  </si>
  <si>
    <t>ул.Нахимова,                                  д. 31</t>
  </si>
  <si>
    <t>ул. Октябрьская,                             д. 9</t>
  </si>
  <si>
    <t>ул. Октябрьская,                         д. 21</t>
  </si>
  <si>
    <t>ул. Октябрьская,                           д. 23</t>
  </si>
  <si>
    <t>ул. Октябрьская,                       д. 24</t>
  </si>
  <si>
    <t>ул. Полярные Зори,                  д. 27 корп. 2</t>
  </si>
  <si>
    <t>ул. Полярные Зори,                   д. 33 корп.1</t>
  </si>
  <si>
    <t>ул. Сафонова,                          д. 19</t>
  </si>
  <si>
    <t>ул. Сафонова,                           д. 20, корп. 2</t>
  </si>
  <si>
    <t>ул. Сафонова,                             д. 21</t>
  </si>
  <si>
    <t>ул. Сафонова,                             д. 24/26</t>
  </si>
  <si>
    <t>ш. Североморское,                    д. 8</t>
  </si>
  <si>
    <t>ш. Североморское,                    д. 9</t>
  </si>
  <si>
    <t>ул. Софьи Перовской,              д. 6</t>
  </si>
  <si>
    <t>ул. Софьи Перовской,              д. 27</t>
  </si>
  <si>
    <t>ул. Софьи Перовской,              д. 31/11</t>
  </si>
  <si>
    <t>ул. Шмидта,                              д. 11</t>
  </si>
  <si>
    <t>Итого по муниципальному образованию                город Мурманск на 2025 год</t>
  </si>
  <si>
    <t>Итого по муниципальному образованию         город Мурманск на 2023-2025 годы</t>
  </si>
  <si>
    <t>спец. счет</t>
  </si>
  <si>
    <t>2023 - 2023</t>
  </si>
  <si>
    <t>2024 - 2024</t>
  </si>
  <si>
    <t>2025 - 2025</t>
  </si>
  <si>
    <t xml:space="preserve">Установка ВДП, включая регулятор температуры – установка водоподогревателя системы горячего водоснабжения, включая регулятор температуры и другое необходимое оборудование, согласно техническим условиям теплоснабжающей организации;
</t>
  </si>
  <si>
    <t xml:space="preserve">ул. Радищева,                             д. 18 </t>
  </si>
  <si>
    <t xml:space="preserve">ул. Радищева,                                         д. 16 </t>
  </si>
  <si>
    <t>ул. Радищева,                                              д. 14</t>
  </si>
  <si>
    <t>ул. Радищева,                                        д. 12</t>
  </si>
  <si>
    <t>ул. Профсоюзов,                                      д. 24</t>
  </si>
  <si>
    <t xml:space="preserve"> к  постановлению администрации</t>
  </si>
  <si>
    <t xml:space="preserve"> города Мурманска</t>
  </si>
  <si>
    <t>ул. Адмирала флота Лобова,  д. 44</t>
  </si>
  <si>
    <t>ул. Адмирала флота Лобова,  д. 47</t>
  </si>
  <si>
    <t>ул. Адмирала флота Лобова,  д. 34</t>
  </si>
  <si>
    <t>ул. Адмирала флота Лобова,  д. 39/13</t>
  </si>
  <si>
    <t>ул. Челюскинцев,                             д. 18/20</t>
  </si>
  <si>
    <t>ул. Адмирала флота Лобова,   д. 37</t>
  </si>
  <si>
    <t>ул. Адмирала флота Лобова,    д. 49/17</t>
  </si>
  <si>
    <t>ул. Академика Книповича,    д. 9А</t>
  </si>
  <si>
    <t>ул. Дзержинского,                       д. 2/33</t>
  </si>
  <si>
    <t>ул. Чумбарова-Лучинского,   д. 46 корп. 1</t>
  </si>
  <si>
    <t>Общая площадь МКД, всего                                                      (кв.м)</t>
  </si>
  <si>
    <t>всего: (кв.м)</t>
  </si>
  <si>
    <t>в том числе жилых помещений, находящихся в собственности граждан (кв.м)</t>
  </si>
  <si>
    <t>Мурманск (Росляково)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</si>
  <si>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период 2023-2025 годов</t>
  </si>
  <si>
    <t xml:space="preserve"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 год
</t>
  </si>
  <si>
    <t>Общая площадь МКД, всего:                                                                                                              (кв.м)</t>
  </si>
  <si>
    <t xml:space="preserve"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2024 год
</t>
  </si>
  <si>
    <t xml:space="preserve"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2025 год
</t>
  </si>
  <si>
    <t>Общая площадь МКД, всего:                                                                                                       (кв.м)</t>
  </si>
  <si>
    <t>Общая площадь МКД, всего:                                                                                                     (кв.м)</t>
  </si>
  <si>
    <t xml:space="preserve">       от               №                   </t>
  </si>
  <si>
    <t>Источники финансирования</t>
  </si>
  <si>
    <t xml:space="preserve">       от 08.11.2022 № 3465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</si>
</sst>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\ _₽"/>
    <numFmt numFmtId="166" formatCode="0.0"/>
  </numFmts>
  <fonts count="30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  <font>
      <sz val="24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32"/>
      <name val="Times New Roman"/>
      <family val="1"/>
      <charset val="204"/>
    </font>
    <font>
      <sz val="17"/>
      <name val="Times New Roman"/>
      <family val="1"/>
      <charset val="204"/>
    </font>
    <font>
      <sz val="50"/>
      <color rgb="FFFF0000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55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86">
    <xf numFmtId="0" fontId="0" fillId="0" borderId="0" xfId="0"/>
    <xf numFmtId="0" fontId="1" fillId="2" borderId="0" xfId="0" applyFont="1" applyFill="1"/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/>
    <xf numFmtId="165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2" fontId="22" fillId="2" borderId="10" xfId="0" applyNumberFormat="1" applyFont="1" applyFill="1" applyBorder="1" applyAlignment="1">
      <alignment horizontal="center" vertical="center" wrapText="1"/>
    </xf>
    <xf numFmtId="165" fontId="22" fillId="2" borderId="2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165" fontId="22" fillId="2" borderId="10" xfId="0" applyNumberFormat="1" applyFont="1" applyFill="1" applyBorder="1" applyAlignment="1">
      <alignment horizontal="center" vertical="center"/>
    </xf>
    <xf numFmtId="165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 textRotation="90" wrapText="1"/>
    </xf>
    <xf numFmtId="166" fontId="19" fillId="2" borderId="0" xfId="0" applyNumberFormat="1" applyFont="1" applyFill="1" applyAlignment="1">
      <alignment horizontal="center" vertical="center"/>
    </xf>
    <xf numFmtId="166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4" fontId="23" fillId="2" borderId="0" xfId="0" applyNumberFormat="1" applyFont="1" applyFill="1" applyAlignment="1">
      <alignment horizontal="left"/>
    </xf>
    <xf numFmtId="165" fontId="19" fillId="2" borderId="0" xfId="0" applyNumberFormat="1" applyFont="1" applyFill="1" applyAlignment="1">
      <alignment horizontal="left"/>
    </xf>
    <xf numFmtId="0" fontId="24" fillId="2" borderId="0" xfId="0" applyFont="1" applyFill="1"/>
    <xf numFmtId="165" fontId="24" fillId="2" borderId="0" xfId="0" applyNumberFormat="1" applyFont="1" applyFill="1"/>
    <xf numFmtId="0" fontId="19" fillId="2" borderId="0" xfId="0" applyFont="1" applyFill="1"/>
    <xf numFmtId="0" fontId="19" fillId="2" borderId="0" xfId="0" applyFont="1" applyFill="1" applyAlignment="1"/>
    <xf numFmtId="165" fontId="19" fillId="2" borderId="0" xfId="0" applyNumberFormat="1" applyFont="1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9" fillId="2" borderId="0" xfId="0" applyFont="1" applyFill="1" applyAlignment="1">
      <alignment wrapText="1"/>
    </xf>
    <xf numFmtId="165" fontId="19" fillId="2" borderId="0" xfId="0" applyNumberFormat="1" applyFont="1" applyFill="1" applyAlignment="1">
      <alignment wrapText="1"/>
    </xf>
    <xf numFmtId="166" fontId="24" fillId="2" borderId="0" xfId="0" applyNumberFormat="1" applyFont="1" applyFill="1" applyAlignment="1">
      <alignment horizontal="center" vertical="center"/>
    </xf>
    <xf numFmtId="166" fontId="24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/>
    </xf>
    <xf numFmtId="166" fontId="22" fillId="2" borderId="10" xfId="0" applyNumberFormat="1" applyFont="1" applyFill="1" applyBorder="1" applyAlignment="1">
      <alignment horizontal="center" vertical="center" textRotation="90"/>
    </xf>
    <xf numFmtId="0" fontId="1" fillId="2" borderId="1" xfId="0" applyFont="1" applyFill="1" applyBorder="1"/>
    <xf numFmtId="0" fontId="2" fillId="2" borderId="0" xfId="0" applyFont="1" applyFill="1" applyBorder="1" applyAlignment="1">
      <alignment vertical="center" wrapText="1"/>
    </xf>
    <xf numFmtId="165" fontId="2" fillId="2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166" fontId="22" fillId="2" borderId="10" xfId="0" applyNumberFormat="1" applyFont="1" applyFill="1" applyBorder="1" applyAlignment="1">
      <alignment horizontal="center" vertical="center" textRotation="90" wrapText="1"/>
    </xf>
    <xf numFmtId="0" fontId="22" fillId="2" borderId="10" xfId="0" applyFont="1" applyFill="1" applyBorder="1" applyAlignment="1">
      <alignment horizontal="center" vertical="center" wrapText="1"/>
    </xf>
    <xf numFmtId="166" fontId="22" fillId="2" borderId="2" xfId="0" applyNumberFormat="1" applyFont="1" applyFill="1" applyBorder="1" applyAlignment="1">
      <alignment horizontal="center" vertical="center" textRotation="90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top"/>
    </xf>
    <xf numFmtId="0" fontId="22" fillId="2" borderId="10" xfId="0" applyFont="1" applyFill="1" applyBorder="1" applyAlignment="1">
      <alignment horizontal="center" vertical="center" textRotation="90" wrapText="1"/>
    </xf>
    <xf numFmtId="165" fontId="22" fillId="2" borderId="10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textRotation="90" wrapText="1"/>
    </xf>
    <xf numFmtId="0" fontId="2" fillId="2" borderId="0" xfId="0" applyFont="1" applyFill="1" applyBorder="1" applyAlignment="1">
      <alignment horizontal="left" vertical="center" textRotation="90" wrapText="1"/>
    </xf>
    <xf numFmtId="166" fontId="2" fillId="2" borderId="0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 vertical="center" textRotation="90" wrapText="1"/>
    </xf>
    <xf numFmtId="166" fontId="2" fillId="2" borderId="1" xfId="0" applyNumberFormat="1" applyFont="1" applyFill="1" applyBorder="1" applyAlignment="1">
      <alignment horizontal="center" vertical="center" textRotation="90" wrapText="1"/>
    </xf>
    <xf numFmtId="1" fontId="22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5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/>
    <xf numFmtId="165" fontId="2" fillId="2" borderId="0" xfId="0" applyNumberFormat="1" applyFont="1" applyFill="1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2" fillId="2" borderId="10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textRotation="90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2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165" fontId="22" fillId="2" borderId="1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2" fillId="2" borderId="8" xfId="0" applyFont="1" applyFill="1" applyBorder="1" applyAlignment="1">
      <alignment horizontal="center" vertical="center" wrapText="1"/>
    </xf>
    <xf numFmtId="166" fontId="22" fillId="2" borderId="10" xfId="0" applyNumberFormat="1" applyFont="1" applyFill="1" applyBorder="1" applyAlignment="1">
      <alignment horizontal="center" vertical="center" textRotation="90" wrapText="1"/>
    </xf>
    <xf numFmtId="166" fontId="22" fillId="2" borderId="2" xfId="0" applyNumberFormat="1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center" vertical="center" textRotation="90"/>
    </xf>
    <xf numFmtId="0" fontId="25" fillId="2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22" fillId="2" borderId="9" xfId="0" applyFont="1" applyFill="1" applyBorder="1" applyAlignment="1">
      <alignment horizontal="center" vertical="center" textRotation="90" wrapText="1"/>
    </xf>
    <xf numFmtId="0" fontId="22" fillId="2" borderId="12" xfId="0" applyFont="1" applyFill="1" applyBorder="1" applyAlignment="1">
      <alignment horizontal="center" vertical="center" textRotation="90" wrapText="1"/>
    </xf>
    <xf numFmtId="0" fontId="22" fillId="2" borderId="14" xfId="0" applyFont="1" applyFill="1" applyBorder="1" applyAlignment="1">
      <alignment horizontal="center" vertical="center" textRotation="90" wrapText="1"/>
    </xf>
    <xf numFmtId="0" fontId="22" fillId="2" borderId="15" xfId="0" applyFont="1" applyFill="1" applyBorder="1" applyAlignment="1">
      <alignment horizontal="center" vertical="center" textRotation="90" wrapText="1"/>
    </xf>
    <xf numFmtId="166" fontId="22" fillId="2" borderId="10" xfId="0" applyNumberFormat="1" applyFont="1" applyFill="1" applyBorder="1" applyAlignment="1">
      <alignment horizontal="center" vertical="center" textRotation="90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6" fontId="22" fillId="2" borderId="2" xfId="0" applyNumberFormat="1" applyFont="1" applyFill="1" applyBorder="1" applyAlignment="1">
      <alignment horizontal="center" vertical="center" textRotation="90" wrapText="1"/>
    </xf>
    <xf numFmtId="166" fontId="22" fillId="2" borderId="9" xfId="0" applyNumberFormat="1" applyFont="1" applyFill="1" applyBorder="1" applyAlignment="1">
      <alignment horizontal="center" vertical="center" textRotation="90" wrapText="1"/>
    </xf>
    <xf numFmtId="166" fontId="22" fillId="2" borderId="12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2" fontId="2" fillId="2" borderId="0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textRotation="90" wrapText="1"/>
    </xf>
    <xf numFmtId="2" fontId="2" fillId="2" borderId="12" xfId="0" applyNumberFormat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top"/>
    </xf>
    <xf numFmtId="0" fontId="22" fillId="2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textRotation="90" wrapText="1"/>
    </xf>
    <xf numFmtId="165" fontId="22" fillId="2" borderId="10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/>
    </xf>
    <xf numFmtId="165" fontId="22" fillId="2" borderId="2" xfId="0" applyNumberFormat="1" applyFont="1" applyFill="1" applyBorder="1" applyAlignment="1">
      <alignment horizontal="center" vertical="center" wrapText="1"/>
    </xf>
    <xf numFmtId="165" fontId="22" fillId="2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36"/>
  <sheetViews>
    <sheetView tabSelected="1" topLeftCell="X1" zoomScale="40" zoomScaleNormal="40" zoomScaleSheetLayoutView="30" zoomScalePageLayoutView="22" workbookViewId="0">
      <selection activeCell="A7" sqref="A7:AH7"/>
    </sheetView>
  </sheetViews>
  <sheetFormatPr defaultColWidth="9.140625" defaultRowHeight="23.25" x14ac:dyDescent="0.35"/>
  <cols>
    <col min="1" max="1" width="10.28515625" style="1" customWidth="1"/>
    <col min="2" max="2" width="10.7109375" style="1" customWidth="1"/>
    <col min="3" max="3" width="41.140625" style="86" customWidth="1"/>
    <col min="4" max="4" width="10.7109375" style="1" customWidth="1"/>
    <col min="5" max="5" width="11.28515625" style="1" customWidth="1"/>
    <col min="6" max="6" width="15.5703125" style="87" customWidth="1"/>
    <col min="7" max="7" width="14.42578125" style="87" customWidth="1"/>
    <col min="8" max="8" width="12" style="87" customWidth="1"/>
    <col min="9" max="10" width="10.7109375" style="1" customWidth="1"/>
    <col min="11" max="11" width="10.85546875" style="88" customWidth="1"/>
    <col min="12" max="12" width="9.85546875" style="1" customWidth="1"/>
    <col min="13" max="13" width="29.140625" style="1" customWidth="1"/>
    <col min="14" max="20" width="28.7109375" style="1" customWidth="1"/>
    <col min="21" max="21" width="26.140625" style="1" customWidth="1"/>
    <col min="22" max="22" width="28.7109375" style="1" customWidth="1"/>
    <col min="23" max="23" width="29.7109375" style="1" customWidth="1"/>
    <col min="24" max="28" width="28.7109375" style="1" customWidth="1"/>
    <col min="29" max="29" width="31.28515625" style="1" customWidth="1"/>
    <col min="30" max="30" width="21.28515625" style="1" customWidth="1"/>
    <col min="31" max="31" width="22.7109375" style="1" customWidth="1"/>
    <col min="32" max="32" width="31.28515625" style="1" customWidth="1"/>
    <col min="33" max="34" width="13.28515625" style="1" customWidth="1"/>
    <col min="35" max="16384" width="9.140625" style="1"/>
  </cols>
  <sheetData>
    <row r="2" spans="1:34" ht="75" customHeight="1" x14ac:dyDescent="1.1499999999999999">
      <c r="A2" s="51"/>
      <c r="B2" s="71"/>
      <c r="C2" s="72"/>
      <c r="D2" s="71"/>
      <c r="E2" s="71"/>
      <c r="F2" s="73"/>
      <c r="G2" s="73"/>
      <c r="H2" s="73"/>
      <c r="I2" s="71"/>
      <c r="J2" s="71"/>
      <c r="K2" s="74"/>
      <c r="L2" s="51"/>
      <c r="M2" s="60"/>
      <c r="N2" s="60"/>
      <c r="O2" s="60"/>
      <c r="P2" s="60"/>
      <c r="Q2" s="60"/>
      <c r="R2" s="60"/>
      <c r="S2" s="60"/>
      <c r="T2" s="60"/>
      <c r="U2" s="60"/>
      <c r="V2" s="51"/>
      <c r="W2" s="51"/>
      <c r="X2" s="51"/>
      <c r="Y2" s="51"/>
      <c r="Z2" s="51"/>
      <c r="AA2" s="114" t="s">
        <v>81</v>
      </c>
      <c r="AB2" s="114"/>
      <c r="AC2" s="114"/>
      <c r="AD2" s="115"/>
      <c r="AE2" s="114"/>
      <c r="AF2" s="116"/>
      <c r="AG2" s="114"/>
      <c r="AH2" s="114"/>
    </row>
    <row r="3" spans="1:34" ht="81.75" x14ac:dyDescent="1.1499999999999999">
      <c r="A3" s="51"/>
      <c r="B3" s="71"/>
      <c r="C3" s="72"/>
      <c r="D3" s="71"/>
      <c r="E3" s="71"/>
      <c r="F3" s="73"/>
      <c r="G3" s="73"/>
      <c r="H3" s="73"/>
      <c r="I3" s="71"/>
      <c r="J3" s="71"/>
      <c r="K3" s="74"/>
      <c r="L3" s="51"/>
      <c r="M3" s="60"/>
      <c r="N3" s="60"/>
      <c r="O3" s="60"/>
      <c r="P3" s="60"/>
      <c r="Q3" s="60"/>
      <c r="R3" s="60"/>
      <c r="S3" s="60"/>
      <c r="T3" s="60"/>
      <c r="U3" s="60"/>
      <c r="V3" s="51"/>
      <c r="W3" s="51"/>
      <c r="X3" s="51"/>
      <c r="Y3" s="51"/>
      <c r="Z3" s="51"/>
      <c r="AA3" s="117" t="s">
        <v>191</v>
      </c>
      <c r="AB3" s="117"/>
      <c r="AC3" s="117"/>
      <c r="AD3" s="118"/>
      <c r="AE3" s="117"/>
      <c r="AF3" s="119"/>
      <c r="AG3" s="117"/>
      <c r="AH3" s="117"/>
    </row>
    <row r="4" spans="1:34" ht="81.75" x14ac:dyDescent="1.1499999999999999">
      <c r="A4" s="51"/>
      <c r="B4" s="71"/>
      <c r="C4" s="72"/>
      <c r="D4" s="71"/>
      <c r="E4" s="71"/>
      <c r="F4" s="73"/>
      <c r="G4" s="73"/>
      <c r="H4" s="73"/>
      <c r="I4" s="71"/>
      <c r="J4" s="71"/>
      <c r="K4" s="74"/>
      <c r="L4" s="51"/>
      <c r="M4" s="60"/>
      <c r="N4" s="60"/>
      <c r="O4" s="60"/>
      <c r="P4" s="60"/>
      <c r="Q4" s="60"/>
      <c r="R4" s="60"/>
      <c r="S4" s="60"/>
      <c r="T4" s="60"/>
      <c r="U4" s="60"/>
      <c r="V4" s="51"/>
      <c r="W4" s="51"/>
      <c r="X4" s="51"/>
      <c r="Y4" s="51"/>
      <c r="Z4" s="51"/>
      <c r="AA4" s="114" t="s">
        <v>192</v>
      </c>
      <c r="AB4" s="114"/>
      <c r="AC4" s="114"/>
      <c r="AD4" s="115"/>
      <c r="AE4" s="114"/>
      <c r="AF4" s="116"/>
      <c r="AG4" s="114"/>
      <c r="AH4" s="114"/>
    </row>
    <row r="5" spans="1:34" ht="81.75" x14ac:dyDescent="1.1499999999999999">
      <c r="A5" s="51"/>
      <c r="B5" s="71"/>
      <c r="C5" s="72"/>
      <c r="D5" s="71"/>
      <c r="E5" s="71"/>
      <c r="F5" s="73"/>
      <c r="G5" s="73"/>
      <c r="H5" s="73"/>
      <c r="I5" s="71"/>
      <c r="J5" s="71"/>
      <c r="K5" s="74"/>
      <c r="L5" s="51"/>
      <c r="M5" s="60"/>
      <c r="N5" s="60"/>
      <c r="O5" s="60"/>
      <c r="P5" s="60"/>
      <c r="Q5" s="60"/>
      <c r="R5" s="60"/>
      <c r="S5" s="60"/>
      <c r="T5" s="60"/>
      <c r="U5" s="60"/>
      <c r="V5" s="51"/>
      <c r="W5" s="51"/>
      <c r="X5" s="51"/>
      <c r="Y5" s="51"/>
      <c r="Z5" s="51"/>
      <c r="AA5" s="114" t="s">
        <v>216</v>
      </c>
      <c r="AB5" s="114"/>
      <c r="AC5" s="114"/>
      <c r="AD5" s="115"/>
      <c r="AE5" s="114"/>
      <c r="AF5" s="116"/>
      <c r="AG5" s="114"/>
      <c r="AH5" s="114"/>
    </row>
    <row r="6" spans="1:34" ht="83.45" customHeight="1" x14ac:dyDescent="0.35">
      <c r="A6" s="51"/>
      <c r="B6" s="71"/>
      <c r="C6" s="72"/>
      <c r="D6" s="71"/>
      <c r="E6" s="71"/>
      <c r="F6" s="73"/>
      <c r="G6" s="73"/>
      <c r="H6" s="73"/>
      <c r="I6" s="71"/>
      <c r="J6" s="71"/>
      <c r="K6" s="74"/>
      <c r="L6" s="51"/>
      <c r="M6" s="60"/>
      <c r="N6" s="60"/>
      <c r="O6" s="60"/>
      <c r="P6" s="60"/>
      <c r="Q6" s="60"/>
      <c r="R6" s="60"/>
      <c r="S6" s="60"/>
      <c r="T6" s="60"/>
      <c r="U6" s="60"/>
      <c r="V6" s="51"/>
      <c r="W6" s="51"/>
      <c r="X6" s="51"/>
      <c r="Y6" s="51"/>
      <c r="Z6" s="51"/>
      <c r="AA6" s="52"/>
      <c r="AB6" s="51"/>
      <c r="AC6" s="60"/>
      <c r="AD6" s="90"/>
      <c r="AE6" s="90"/>
      <c r="AF6" s="90"/>
      <c r="AG6" s="71"/>
      <c r="AH6" s="71"/>
    </row>
    <row r="7" spans="1:34" ht="132" customHeight="1" x14ac:dyDescent="0.35">
      <c r="A7" s="120" t="s">
        <v>91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1"/>
      <c r="AE7" s="120"/>
      <c r="AF7" s="122"/>
      <c r="AG7" s="120"/>
      <c r="AH7" s="120"/>
    </row>
    <row r="8" spans="1:34" ht="65.45" customHeight="1" x14ac:dyDescent="0.35">
      <c r="A8" s="51"/>
      <c r="B8" s="71"/>
      <c r="C8" s="72"/>
      <c r="D8" s="71"/>
      <c r="E8" s="71"/>
      <c r="F8" s="73"/>
      <c r="G8" s="75"/>
      <c r="H8" s="75"/>
      <c r="I8" s="71"/>
      <c r="J8" s="71"/>
      <c r="K8" s="74"/>
      <c r="L8" s="51"/>
      <c r="M8" s="61"/>
      <c r="N8" s="61"/>
      <c r="O8" s="61"/>
      <c r="P8" s="61"/>
      <c r="Q8" s="61"/>
      <c r="R8" s="61"/>
      <c r="S8" s="61"/>
      <c r="T8" s="61"/>
      <c r="U8" s="61"/>
      <c r="V8" s="53"/>
      <c r="W8" s="53"/>
      <c r="X8" s="53"/>
      <c r="Y8" s="53"/>
      <c r="Z8" s="53"/>
      <c r="AA8" s="54"/>
      <c r="AB8" s="53"/>
      <c r="AC8" s="61"/>
      <c r="AD8" s="91"/>
      <c r="AE8" s="91"/>
      <c r="AF8" s="91"/>
      <c r="AG8" s="71" t="s">
        <v>100</v>
      </c>
      <c r="AH8" s="71" t="s">
        <v>101</v>
      </c>
    </row>
    <row r="9" spans="1:34" ht="103.9" customHeight="1" x14ac:dyDescent="0.35">
      <c r="A9" s="123" t="s">
        <v>0</v>
      </c>
      <c r="B9" s="126" t="s">
        <v>1</v>
      </c>
      <c r="C9" s="123" t="s">
        <v>2</v>
      </c>
      <c r="D9" s="126" t="s">
        <v>3</v>
      </c>
      <c r="E9" s="126" t="s">
        <v>4</v>
      </c>
      <c r="F9" s="136" t="s">
        <v>203</v>
      </c>
      <c r="G9" s="132" t="s">
        <v>5</v>
      </c>
      <c r="H9" s="134"/>
      <c r="I9" s="126" t="s">
        <v>6</v>
      </c>
      <c r="J9" s="126" t="s">
        <v>7</v>
      </c>
      <c r="K9" s="126" t="s">
        <v>8</v>
      </c>
      <c r="L9" s="123" t="s">
        <v>9</v>
      </c>
      <c r="M9" s="172" t="s">
        <v>10</v>
      </c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80"/>
      <c r="AC9" s="172" t="s">
        <v>215</v>
      </c>
      <c r="AD9" s="173"/>
      <c r="AE9" s="174"/>
      <c r="AF9" s="175"/>
      <c r="AG9" s="126" t="s">
        <v>12</v>
      </c>
      <c r="AH9" s="126" t="s">
        <v>13</v>
      </c>
    </row>
    <row r="10" spans="1:34" ht="35.450000000000003" customHeight="1" x14ac:dyDescent="0.35">
      <c r="A10" s="124"/>
      <c r="B10" s="127"/>
      <c r="C10" s="124"/>
      <c r="D10" s="127"/>
      <c r="E10" s="127"/>
      <c r="F10" s="137"/>
      <c r="G10" s="131" t="s">
        <v>204</v>
      </c>
      <c r="H10" s="131" t="s">
        <v>205</v>
      </c>
      <c r="I10" s="127"/>
      <c r="J10" s="127"/>
      <c r="K10" s="127"/>
      <c r="L10" s="124"/>
      <c r="M10" s="132" t="s">
        <v>14</v>
      </c>
      <c r="N10" s="133"/>
      <c r="O10" s="133"/>
      <c r="P10" s="133"/>
      <c r="Q10" s="133"/>
      <c r="R10" s="133"/>
      <c r="S10" s="133"/>
      <c r="T10" s="133"/>
      <c r="U10" s="134"/>
      <c r="V10" s="135" t="s">
        <v>15</v>
      </c>
      <c r="W10" s="135" t="s">
        <v>16</v>
      </c>
      <c r="X10" s="135" t="s">
        <v>99</v>
      </c>
      <c r="Y10" s="135" t="s">
        <v>87</v>
      </c>
      <c r="Z10" s="135" t="s">
        <v>17</v>
      </c>
      <c r="AA10" s="177" t="s">
        <v>88</v>
      </c>
      <c r="AB10" s="132" t="s">
        <v>89</v>
      </c>
      <c r="AC10" s="135" t="s">
        <v>23</v>
      </c>
      <c r="AD10" s="176" t="s">
        <v>93</v>
      </c>
      <c r="AE10" s="176" t="s">
        <v>24</v>
      </c>
      <c r="AF10" s="176" t="s">
        <v>94</v>
      </c>
      <c r="AG10" s="129"/>
      <c r="AH10" s="127"/>
    </row>
    <row r="11" spans="1:34" ht="241.5" customHeight="1" x14ac:dyDescent="0.35">
      <c r="A11" s="125"/>
      <c r="B11" s="128"/>
      <c r="C11" s="125"/>
      <c r="D11" s="128"/>
      <c r="E11" s="128"/>
      <c r="F11" s="138"/>
      <c r="G11" s="131"/>
      <c r="H11" s="131"/>
      <c r="I11" s="128"/>
      <c r="J11" s="128"/>
      <c r="K11" s="128"/>
      <c r="L11" s="125"/>
      <c r="M11" s="57" t="s">
        <v>18</v>
      </c>
      <c r="N11" s="57" t="s">
        <v>19</v>
      </c>
      <c r="O11" s="57" t="s">
        <v>20</v>
      </c>
      <c r="P11" s="57" t="s">
        <v>105</v>
      </c>
      <c r="Q11" s="57" t="s">
        <v>21</v>
      </c>
      <c r="R11" s="57" t="s">
        <v>98</v>
      </c>
      <c r="S11" s="57" t="s">
        <v>22</v>
      </c>
      <c r="T11" s="57" t="s">
        <v>90</v>
      </c>
      <c r="U11" s="57" t="s">
        <v>86</v>
      </c>
      <c r="V11" s="135"/>
      <c r="W11" s="135"/>
      <c r="X11" s="135"/>
      <c r="Y11" s="135"/>
      <c r="Z11" s="135"/>
      <c r="AA11" s="177"/>
      <c r="AB11" s="132"/>
      <c r="AC11" s="135"/>
      <c r="AD11" s="176"/>
      <c r="AE11" s="176"/>
      <c r="AF11" s="176"/>
      <c r="AG11" s="130"/>
      <c r="AH11" s="128"/>
    </row>
    <row r="12" spans="1:34" ht="51" customHeight="1" x14ac:dyDescent="0.35">
      <c r="A12" s="57">
        <v>1</v>
      </c>
      <c r="B12" s="57">
        <v>2</v>
      </c>
      <c r="C12" s="57">
        <v>3</v>
      </c>
      <c r="D12" s="57">
        <v>4</v>
      </c>
      <c r="E12" s="57">
        <v>5</v>
      </c>
      <c r="F12" s="76">
        <v>6</v>
      </c>
      <c r="G12" s="76">
        <v>7</v>
      </c>
      <c r="H12" s="76">
        <v>8</v>
      </c>
      <c r="I12" s="57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16</v>
      </c>
      <c r="Q12" s="57">
        <v>17</v>
      </c>
      <c r="R12" s="57">
        <v>18</v>
      </c>
      <c r="S12" s="57">
        <v>19</v>
      </c>
      <c r="T12" s="57">
        <v>20</v>
      </c>
      <c r="U12" s="57">
        <v>21</v>
      </c>
      <c r="V12" s="57">
        <v>22</v>
      </c>
      <c r="W12" s="57">
        <v>23</v>
      </c>
      <c r="X12" s="57">
        <v>24</v>
      </c>
      <c r="Y12" s="57">
        <v>25</v>
      </c>
      <c r="Z12" s="57">
        <v>26</v>
      </c>
      <c r="AA12" s="57">
        <v>27</v>
      </c>
      <c r="AB12" s="57">
        <v>28</v>
      </c>
      <c r="AC12" s="57">
        <v>29</v>
      </c>
      <c r="AD12" s="89">
        <v>30</v>
      </c>
      <c r="AE12" s="89">
        <v>31</v>
      </c>
      <c r="AF12" s="89">
        <v>32</v>
      </c>
      <c r="AG12" s="57">
        <v>33</v>
      </c>
      <c r="AH12" s="57">
        <v>34</v>
      </c>
    </row>
    <row r="13" spans="1:34" ht="109.9" customHeight="1" x14ac:dyDescent="0.35">
      <c r="A13" s="142" t="s">
        <v>82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78"/>
      <c r="AE13" s="143"/>
      <c r="AF13" s="179"/>
      <c r="AG13" s="143"/>
      <c r="AH13" s="144"/>
    </row>
    <row r="14" spans="1:34" ht="109.9" customHeight="1" x14ac:dyDescent="0.35">
      <c r="A14" s="57">
        <v>1</v>
      </c>
      <c r="B14" s="68" t="s">
        <v>25</v>
      </c>
      <c r="C14" s="57" t="s">
        <v>193</v>
      </c>
      <c r="D14" s="57">
        <v>1956</v>
      </c>
      <c r="E14" s="57">
        <v>4</v>
      </c>
      <c r="F14" s="56">
        <v>2373</v>
      </c>
      <c r="G14" s="56">
        <v>2161</v>
      </c>
      <c r="H14" s="56">
        <v>1300.5</v>
      </c>
      <c r="I14" s="57">
        <v>49</v>
      </c>
      <c r="J14" s="57" t="s">
        <v>27</v>
      </c>
      <c r="K14" s="57" t="s">
        <v>28</v>
      </c>
      <c r="L14" s="19"/>
      <c r="M14" s="69">
        <f t="shared" ref="M14:M15" si="0">SUM(N14:U14)</f>
        <v>8101070.3599999994</v>
      </c>
      <c r="N14" s="69">
        <f t="shared" ref="N14:N15" si="1">ROUND(G14*616.25,2)</f>
        <v>1331716.25</v>
      </c>
      <c r="O14" s="69">
        <f>ROUND(G14*871.5,2)</f>
        <v>1883311.5</v>
      </c>
      <c r="P14" s="69"/>
      <c r="Q14" s="69">
        <f t="shared" ref="Q14:Q15" si="2">ROUND(G14*596.38,2)</f>
        <v>1288777.18</v>
      </c>
      <c r="R14" s="69">
        <f t="shared" ref="R14:R15" si="3">ROUND(G14*589.88,2)</f>
        <v>1274730.68</v>
      </c>
      <c r="S14" s="69"/>
      <c r="T14" s="69">
        <f t="shared" ref="T14:T15" si="4">ROUND(G14*1074.75,2)</f>
        <v>2322534.75</v>
      </c>
      <c r="U14" s="19"/>
      <c r="V14" s="19"/>
      <c r="W14" s="19"/>
      <c r="X14" s="19"/>
      <c r="Y14" s="19"/>
      <c r="Z14" s="19"/>
      <c r="AA14" s="69">
        <v>967328.4</v>
      </c>
      <c r="AB14" s="69">
        <f t="shared" ref="AB14:AB42" si="5">ROUND((M14+V14+W14+X14+Y14+Z14)*0.015,2)</f>
        <v>121516.06</v>
      </c>
      <c r="AC14" s="69">
        <f>SUM(N14:AB14)</f>
        <v>9189914.8200000003</v>
      </c>
      <c r="AD14" s="92"/>
      <c r="AE14" s="19"/>
      <c r="AF14" s="92">
        <f t="shared" ref="AF14:AF42" si="6">AC14-(AD14+AE14)</f>
        <v>9189914.8200000003</v>
      </c>
      <c r="AG14" s="57">
        <v>2023</v>
      </c>
      <c r="AH14" s="57">
        <v>2023</v>
      </c>
    </row>
    <row r="15" spans="1:34" ht="109.9" customHeight="1" x14ac:dyDescent="0.35">
      <c r="A15" s="57">
        <v>2</v>
      </c>
      <c r="B15" s="68" t="s">
        <v>25</v>
      </c>
      <c r="C15" s="57" t="s">
        <v>194</v>
      </c>
      <c r="D15" s="57">
        <v>1956</v>
      </c>
      <c r="E15" s="57">
        <v>4</v>
      </c>
      <c r="F15" s="56">
        <v>3956.3</v>
      </c>
      <c r="G15" s="56">
        <v>1904.5</v>
      </c>
      <c r="H15" s="56">
        <v>1338.5</v>
      </c>
      <c r="I15" s="57" t="s">
        <v>26</v>
      </c>
      <c r="J15" s="57" t="s">
        <v>27</v>
      </c>
      <c r="K15" s="57" t="s">
        <v>28</v>
      </c>
      <c r="L15" s="19"/>
      <c r="M15" s="69">
        <f t="shared" si="0"/>
        <v>14731612.23</v>
      </c>
      <c r="N15" s="69">
        <f t="shared" si="1"/>
        <v>1173648.1299999999</v>
      </c>
      <c r="O15" s="69">
        <f t="shared" ref="O15" si="7">ROUND(G15*4857.9,2)</f>
        <v>9251870.5500000007</v>
      </c>
      <c r="P15" s="69"/>
      <c r="Q15" s="69">
        <f t="shared" si="2"/>
        <v>1135805.71</v>
      </c>
      <c r="R15" s="69">
        <f t="shared" si="3"/>
        <v>1123426.46</v>
      </c>
      <c r="S15" s="69"/>
      <c r="T15" s="69">
        <f t="shared" si="4"/>
        <v>2046861.38</v>
      </c>
      <c r="U15" s="19"/>
      <c r="V15" s="19"/>
      <c r="W15" s="19"/>
      <c r="X15" s="19"/>
      <c r="Y15" s="19"/>
      <c r="Z15" s="19"/>
      <c r="AA15" s="69">
        <v>938412</v>
      </c>
      <c r="AB15" s="69">
        <f t="shared" si="5"/>
        <v>220974.18</v>
      </c>
      <c r="AC15" s="69">
        <f t="shared" ref="AC15" si="8">SUM(N15:AB15)</f>
        <v>15890998.41</v>
      </c>
      <c r="AD15" s="92"/>
      <c r="AE15" s="19"/>
      <c r="AF15" s="92">
        <f t="shared" si="6"/>
        <v>15890998.41</v>
      </c>
      <c r="AG15" s="57">
        <v>2023</v>
      </c>
      <c r="AH15" s="57">
        <v>2023</v>
      </c>
    </row>
    <row r="16" spans="1:34" ht="109.9" customHeight="1" x14ac:dyDescent="0.35">
      <c r="A16" s="57">
        <v>3</v>
      </c>
      <c r="B16" s="68" t="s">
        <v>25</v>
      </c>
      <c r="C16" s="57" t="s">
        <v>107</v>
      </c>
      <c r="D16" s="57">
        <v>1961</v>
      </c>
      <c r="E16" s="57">
        <v>4</v>
      </c>
      <c r="F16" s="56">
        <v>1472.4</v>
      </c>
      <c r="G16" s="56">
        <f>1238.3+126</f>
        <v>1364.3</v>
      </c>
      <c r="H16" s="56">
        <v>1238.3</v>
      </c>
      <c r="I16" s="57" t="s">
        <v>26</v>
      </c>
      <c r="J16" s="57" t="s">
        <v>27</v>
      </c>
      <c r="K16" s="57" t="s">
        <v>28</v>
      </c>
      <c r="L16" s="19"/>
      <c r="M16" s="6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69">
        <f>ROUND(G16*1954.25,2)</f>
        <v>2666183.2799999998</v>
      </c>
      <c r="Y16" s="69">
        <f>ROUND(G16*3842.27,2)</f>
        <v>5242008.96</v>
      </c>
      <c r="Z16" s="69">
        <f>ROUND(G16*1135.41,2)</f>
        <v>1549039.86</v>
      </c>
      <c r="AA16" s="69">
        <v>926400</v>
      </c>
      <c r="AB16" s="69">
        <f t="shared" si="5"/>
        <v>141858.48000000001</v>
      </c>
      <c r="AC16" s="69">
        <f t="shared" ref="AC16:AC42" si="9">SUM(N16:AB16)</f>
        <v>10525490.58</v>
      </c>
      <c r="AD16" s="19"/>
      <c r="AE16" s="19"/>
      <c r="AF16" s="92">
        <f t="shared" si="6"/>
        <v>10525490.58</v>
      </c>
      <c r="AG16" s="57">
        <v>2023</v>
      </c>
      <c r="AH16" s="57">
        <v>2023</v>
      </c>
    </row>
    <row r="17" spans="1:34" ht="109.9" customHeight="1" x14ac:dyDescent="0.35">
      <c r="A17" s="57">
        <v>4</v>
      </c>
      <c r="B17" s="68" t="s">
        <v>25</v>
      </c>
      <c r="C17" s="57" t="s">
        <v>108</v>
      </c>
      <c r="D17" s="57">
        <v>1966</v>
      </c>
      <c r="E17" s="57">
        <v>5</v>
      </c>
      <c r="F17" s="56">
        <v>1726.4</v>
      </c>
      <c r="G17" s="56">
        <v>1604.8</v>
      </c>
      <c r="H17" s="56">
        <v>1604.8</v>
      </c>
      <c r="I17" s="57">
        <v>121</v>
      </c>
      <c r="J17" s="57" t="s">
        <v>27</v>
      </c>
      <c r="K17" s="57" t="s">
        <v>28</v>
      </c>
      <c r="L17" s="19"/>
      <c r="M17" s="69">
        <f>SUM(N17:U17)</f>
        <v>10517409.859999999</v>
      </c>
      <c r="N17" s="69">
        <f>ROUND(G17*616.25,2)</f>
        <v>988958</v>
      </c>
      <c r="O17" s="69">
        <f>ROUND(G17*3990.81,2)</f>
        <v>6404451.8899999997</v>
      </c>
      <c r="P17" s="19"/>
      <c r="Q17" s="69">
        <f>ROUND(G17*620.83,2)</f>
        <v>996307.98</v>
      </c>
      <c r="R17" s="69">
        <f>ROUND(G17*660.21,2)</f>
        <v>1059505.01</v>
      </c>
      <c r="S17" s="19"/>
      <c r="T17" s="69">
        <f>ROUND(G17*665.62,2)</f>
        <v>1068186.98</v>
      </c>
      <c r="U17" s="19"/>
      <c r="V17" s="19"/>
      <c r="W17" s="69">
        <f>ROUND(G17*3617.12,2)</f>
        <v>5804754.1799999997</v>
      </c>
      <c r="X17" s="19"/>
      <c r="Y17" s="19"/>
      <c r="Z17" s="19"/>
      <c r="AA17" s="69">
        <f>1267905.6+642813.6</f>
        <v>1910719.2000000002</v>
      </c>
      <c r="AB17" s="69">
        <f t="shared" si="5"/>
        <v>244832.46</v>
      </c>
      <c r="AC17" s="69">
        <f t="shared" si="9"/>
        <v>18477715.699999999</v>
      </c>
      <c r="AD17" s="92"/>
      <c r="AE17" s="19"/>
      <c r="AF17" s="92">
        <f t="shared" si="6"/>
        <v>18477715.699999999</v>
      </c>
      <c r="AG17" s="57">
        <v>2023</v>
      </c>
      <c r="AH17" s="57">
        <v>2023</v>
      </c>
    </row>
    <row r="18" spans="1:34" ht="109.9" customHeight="1" x14ac:dyDescent="0.35">
      <c r="A18" s="57">
        <v>5</v>
      </c>
      <c r="B18" s="68" t="s">
        <v>25</v>
      </c>
      <c r="C18" s="57" t="s">
        <v>109</v>
      </c>
      <c r="D18" s="57">
        <v>1980</v>
      </c>
      <c r="E18" s="57">
        <v>5</v>
      </c>
      <c r="F18" s="56">
        <v>4820</v>
      </c>
      <c r="G18" s="56">
        <v>4395.8</v>
      </c>
      <c r="H18" s="56">
        <v>4379</v>
      </c>
      <c r="I18" s="57">
        <v>210</v>
      </c>
      <c r="J18" s="57" t="s">
        <v>27</v>
      </c>
      <c r="K18" s="57" t="s">
        <v>28</v>
      </c>
      <c r="L18" s="19"/>
      <c r="M18" s="69"/>
      <c r="N18" s="69"/>
      <c r="O18" s="69"/>
      <c r="P18" s="69"/>
      <c r="Q18" s="69"/>
      <c r="R18" s="69"/>
      <c r="S18" s="19"/>
      <c r="T18" s="69"/>
      <c r="U18" s="19"/>
      <c r="V18" s="19"/>
      <c r="W18" s="19"/>
      <c r="X18" s="19"/>
      <c r="Y18" s="69">
        <f>ROUND(G18*3170.13,2)</f>
        <v>13935257.449999999</v>
      </c>
      <c r="Z18" s="19"/>
      <c r="AA18" s="69">
        <v>905223.6</v>
      </c>
      <c r="AB18" s="69">
        <f>ROUND((M18+V18+W18+X18+Y18+Z18)*0.015,2)</f>
        <v>209028.86</v>
      </c>
      <c r="AC18" s="69">
        <f>SUM(N18:AB18)</f>
        <v>15049509.909999998</v>
      </c>
      <c r="AD18" s="19"/>
      <c r="AE18" s="19"/>
      <c r="AF18" s="92">
        <f>AC18-(AD18+AE18)</f>
        <v>15049509.909999998</v>
      </c>
      <c r="AG18" s="57">
        <v>2023</v>
      </c>
      <c r="AH18" s="57">
        <v>2023</v>
      </c>
    </row>
    <row r="19" spans="1:34" ht="109.9" customHeight="1" x14ac:dyDescent="0.35">
      <c r="A19" s="57">
        <v>6</v>
      </c>
      <c r="B19" s="68" t="s">
        <v>25</v>
      </c>
      <c r="C19" s="57" t="s">
        <v>110</v>
      </c>
      <c r="D19" s="57">
        <v>1956</v>
      </c>
      <c r="E19" s="57">
        <v>5</v>
      </c>
      <c r="F19" s="56">
        <v>4682.1000000000004</v>
      </c>
      <c r="G19" s="56">
        <v>4300.8999999999996</v>
      </c>
      <c r="H19" s="56">
        <v>3551</v>
      </c>
      <c r="I19" s="57">
        <v>87</v>
      </c>
      <c r="J19" s="57" t="s">
        <v>27</v>
      </c>
      <c r="K19" s="57" t="s">
        <v>28</v>
      </c>
      <c r="L19" s="19"/>
      <c r="M19" s="69">
        <f t="shared" ref="M19:M20" si="10">SUM(N19:U19)</f>
        <v>24793140.190000001</v>
      </c>
      <c r="N19" s="69">
        <f t="shared" ref="N19:N20" si="11">ROUND(G19*616.25,2)</f>
        <v>2650429.63</v>
      </c>
      <c r="O19" s="69">
        <f>ROUND(G19*3201.73,2)</f>
        <v>13770320.560000001</v>
      </c>
      <c r="P19" s="69"/>
      <c r="Q19" s="69">
        <f>ROUND(G19*620.83,2)</f>
        <v>2670127.75</v>
      </c>
      <c r="R19" s="69">
        <f>ROUND(G19*660.21,2)</f>
        <v>2839497.19</v>
      </c>
      <c r="S19" s="69"/>
      <c r="T19" s="69">
        <f>ROUND(G19*665.62,2)</f>
        <v>2862765.06</v>
      </c>
      <c r="U19" s="19"/>
      <c r="V19" s="19"/>
      <c r="W19" s="19"/>
      <c r="X19" s="19"/>
      <c r="Y19" s="19"/>
      <c r="Z19" s="19"/>
      <c r="AA19" s="69">
        <v>1306719.6000000001</v>
      </c>
      <c r="AB19" s="69">
        <f t="shared" ref="AB19:AB20" si="12">ROUND((M19+V19+W19+X19+Y19+Z19)*0.015,2)</f>
        <v>371897.1</v>
      </c>
      <c r="AC19" s="69">
        <f t="shared" ref="AC19:AC20" si="13">SUM(N19:AB19)</f>
        <v>26471756.890000004</v>
      </c>
      <c r="AD19" s="92"/>
      <c r="AE19" s="19"/>
      <c r="AF19" s="92">
        <f t="shared" ref="AF19:AF20" si="14">AC19-(AD19+AE19)</f>
        <v>26471756.890000004</v>
      </c>
      <c r="AG19" s="57">
        <v>2023</v>
      </c>
      <c r="AH19" s="57">
        <v>2023</v>
      </c>
    </row>
    <row r="20" spans="1:34" ht="109.9" customHeight="1" x14ac:dyDescent="0.35">
      <c r="A20" s="57">
        <v>7</v>
      </c>
      <c r="B20" s="68" t="s">
        <v>25</v>
      </c>
      <c r="C20" s="57" t="s">
        <v>111</v>
      </c>
      <c r="D20" s="57">
        <v>1956</v>
      </c>
      <c r="E20" s="57">
        <v>4</v>
      </c>
      <c r="F20" s="56">
        <v>3658.8</v>
      </c>
      <c r="G20" s="56">
        <v>3312.7</v>
      </c>
      <c r="H20" s="56">
        <v>2449.6</v>
      </c>
      <c r="I20" s="57">
        <v>73</v>
      </c>
      <c r="J20" s="57" t="s">
        <v>27</v>
      </c>
      <c r="K20" s="57" t="s">
        <v>28</v>
      </c>
      <c r="L20" s="19"/>
      <c r="M20" s="69">
        <f t="shared" si="10"/>
        <v>17422184.969999999</v>
      </c>
      <c r="N20" s="69">
        <f t="shared" si="11"/>
        <v>2041451.38</v>
      </c>
      <c r="O20" s="69">
        <f>ROUND(G20*3349.66,2)</f>
        <v>11096418.68</v>
      </c>
      <c r="P20" s="69"/>
      <c r="Q20" s="69">
        <f>ROUND(G20*650.2,2)</f>
        <v>2153917.54</v>
      </c>
      <c r="R20" s="19"/>
      <c r="S20" s="19"/>
      <c r="T20" s="69">
        <f>ROUND(G20*643.1,2)</f>
        <v>2130397.37</v>
      </c>
      <c r="U20" s="19"/>
      <c r="V20" s="19"/>
      <c r="W20" s="19"/>
      <c r="X20" s="19"/>
      <c r="Y20" s="19"/>
      <c r="Z20" s="19"/>
      <c r="AA20" s="69">
        <v>1053721.2</v>
      </c>
      <c r="AB20" s="69">
        <f t="shared" si="12"/>
        <v>261332.77</v>
      </c>
      <c r="AC20" s="69">
        <f t="shared" si="13"/>
        <v>18737238.939999998</v>
      </c>
      <c r="AD20" s="92"/>
      <c r="AE20" s="19"/>
      <c r="AF20" s="92">
        <f t="shared" si="14"/>
        <v>18737238.939999998</v>
      </c>
      <c r="AG20" s="57">
        <v>2023</v>
      </c>
      <c r="AH20" s="57">
        <v>2023</v>
      </c>
    </row>
    <row r="21" spans="1:34" ht="109.9" customHeight="1" x14ac:dyDescent="0.35">
      <c r="A21" s="57">
        <v>8</v>
      </c>
      <c r="B21" s="68" t="s">
        <v>25</v>
      </c>
      <c r="C21" s="57" t="s">
        <v>112</v>
      </c>
      <c r="D21" s="57">
        <v>1973</v>
      </c>
      <c r="E21" s="57">
        <v>5</v>
      </c>
      <c r="F21" s="56">
        <v>4808.2</v>
      </c>
      <c r="G21" s="56">
        <f>4304.4+89.1</f>
        <v>4393.5</v>
      </c>
      <c r="H21" s="56">
        <v>4304.3999999999996</v>
      </c>
      <c r="I21" s="57">
        <v>212</v>
      </c>
      <c r="J21" s="57" t="s">
        <v>27</v>
      </c>
      <c r="K21" s="57" t="s">
        <v>28</v>
      </c>
      <c r="L21" s="19"/>
      <c r="M21" s="69"/>
      <c r="N21" s="19"/>
      <c r="O21" s="19"/>
      <c r="P21" s="19"/>
      <c r="Q21" s="19"/>
      <c r="R21" s="19"/>
      <c r="S21" s="19"/>
      <c r="T21" s="19"/>
      <c r="U21" s="19"/>
      <c r="V21" s="19"/>
      <c r="W21" s="69">
        <f>ROUND(G21*3517.3,2)</f>
        <v>15453257.550000001</v>
      </c>
      <c r="X21" s="19"/>
      <c r="Y21" s="19"/>
      <c r="Z21" s="19"/>
      <c r="AA21" s="69">
        <v>759255.6</v>
      </c>
      <c r="AB21" s="69">
        <f t="shared" si="5"/>
        <v>231798.86</v>
      </c>
      <c r="AC21" s="69">
        <f t="shared" si="9"/>
        <v>16444312.01</v>
      </c>
      <c r="AD21" s="19"/>
      <c r="AE21" s="19"/>
      <c r="AF21" s="92">
        <f t="shared" si="6"/>
        <v>16444312.01</v>
      </c>
      <c r="AG21" s="57">
        <v>2023</v>
      </c>
      <c r="AH21" s="57">
        <v>2023</v>
      </c>
    </row>
    <row r="22" spans="1:34" ht="109.9" customHeight="1" x14ac:dyDescent="0.35">
      <c r="A22" s="57">
        <v>9</v>
      </c>
      <c r="B22" s="68" t="s">
        <v>25</v>
      </c>
      <c r="C22" s="57" t="s">
        <v>113</v>
      </c>
      <c r="D22" s="57">
        <v>1955</v>
      </c>
      <c r="E22" s="57">
        <v>4</v>
      </c>
      <c r="F22" s="56">
        <v>2494.5</v>
      </c>
      <c r="G22" s="56">
        <f>1856+447.4</f>
        <v>2303.4</v>
      </c>
      <c r="H22" s="56">
        <v>1856.8</v>
      </c>
      <c r="I22" s="57">
        <v>54</v>
      </c>
      <c r="J22" s="57" t="s">
        <v>27</v>
      </c>
      <c r="K22" s="57" t="s">
        <v>28</v>
      </c>
      <c r="L22" s="19"/>
      <c r="M22" s="69">
        <f t="shared" ref="M22:M25" si="15">SUM(N22:U22)</f>
        <v>8634893.7799999993</v>
      </c>
      <c r="N22" s="69">
        <f>ROUND(G22*616.25,2)</f>
        <v>1419470.25</v>
      </c>
      <c r="O22" s="69">
        <f>ROUND(G22*871.5,2)</f>
        <v>2007413.1</v>
      </c>
      <c r="P22" s="69"/>
      <c r="Q22" s="69">
        <f t="shared" ref="Q22:Q25" si="16">ROUND(G22*596.38,2)</f>
        <v>1373701.69</v>
      </c>
      <c r="R22" s="69">
        <f t="shared" ref="R22:R25" si="17">ROUND(G22*589.88,2)</f>
        <v>1358729.59</v>
      </c>
      <c r="S22" s="69"/>
      <c r="T22" s="69">
        <f t="shared" ref="T22:T25" si="18">ROUND(G22*1074.75,2)</f>
        <v>2475579.15</v>
      </c>
      <c r="U22" s="19"/>
      <c r="V22" s="19"/>
      <c r="W22" s="19"/>
      <c r="X22" s="69">
        <f t="shared" ref="X22" si="19">ROUND(G22*1954.25,2)</f>
        <v>4501419.45</v>
      </c>
      <c r="Y22" s="69"/>
      <c r="Z22" s="69">
        <f t="shared" ref="Z22" si="20">ROUND(G22*1135.41,2)</f>
        <v>2615303.39</v>
      </c>
      <c r="AA22" s="69">
        <v>1362853.2</v>
      </c>
      <c r="AB22" s="69">
        <f t="shared" si="5"/>
        <v>236274.25</v>
      </c>
      <c r="AC22" s="69">
        <f t="shared" si="9"/>
        <v>17350744.07</v>
      </c>
      <c r="AD22" s="19"/>
      <c r="AE22" s="19"/>
      <c r="AF22" s="92">
        <f t="shared" si="6"/>
        <v>17350744.07</v>
      </c>
      <c r="AG22" s="57">
        <v>2023</v>
      </c>
      <c r="AH22" s="57">
        <v>2023</v>
      </c>
    </row>
    <row r="23" spans="1:34" ht="109.9" customHeight="1" x14ac:dyDescent="0.35">
      <c r="A23" s="57">
        <v>10</v>
      </c>
      <c r="B23" s="68" t="s">
        <v>25</v>
      </c>
      <c r="C23" s="57" t="s">
        <v>114</v>
      </c>
      <c r="D23" s="57">
        <v>1956</v>
      </c>
      <c r="E23" s="57">
        <v>4</v>
      </c>
      <c r="F23" s="56">
        <v>3007.6</v>
      </c>
      <c r="G23" s="56">
        <v>2733.9</v>
      </c>
      <c r="H23" s="56">
        <v>1089.0999999999999</v>
      </c>
      <c r="I23" s="57">
        <v>65</v>
      </c>
      <c r="J23" s="57" t="s">
        <v>27</v>
      </c>
      <c r="K23" s="57" t="s">
        <v>28</v>
      </c>
      <c r="L23" s="19"/>
      <c r="M23" s="69">
        <f>SUM(N23:U23)</f>
        <v>10248734.969999999</v>
      </c>
      <c r="N23" s="69">
        <f t="shared" ref="N23" si="21">ROUND(G23*616.25,2)</f>
        <v>1684765.88</v>
      </c>
      <c r="O23" s="69">
        <f>ROUND(G23*871.5,2)</f>
        <v>2382593.85</v>
      </c>
      <c r="P23" s="69"/>
      <c r="Q23" s="69">
        <f t="shared" si="16"/>
        <v>1630443.28</v>
      </c>
      <c r="R23" s="69">
        <f t="shared" si="17"/>
        <v>1612672.93</v>
      </c>
      <c r="S23" s="69"/>
      <c r="T23" s="69">
        <f t="shared" si="18"/>
        <v>2938259.03</v>
      </c>
      <c r="U23" s="19"/>
      <c r="V23" s="19"/>
      <c r="W23" s="19"/>
      <c r="X23" s="19"/>
      <c r="Y23" s="19"/>
      <c r="Z23" s="19"/>
      <c r="AA23" s="69">
        <v>1026529.2</v>
      </c>
      <c r="AB23" s="69">
        <f>ROUND((M23+V23+W23+X23+Y23+Z23)*0.015,2)</f>
        <v>153731.01999999999</v>
      </c>
      <c r="AC23" s="69">
        <f>SUM(N23:AB23)</f>
        <v>11428995.189999998</v>
      </c>
      <c r="AD23" s="19"/>
      <c r="AE23" s="19"/>
      <c r="AF23" s="92">
        <f>AC23-(AD23+AE23)</f>
        <v>11428995.189999998</v>
      </c>
      <c r="AG23" s="57">
        <v>2023</v>
      </c>
      <c r="AH23" s="57">
        <v>2023</v>
      </c>
    </row>
    <row r="24" spans="1:34" ht="109.9" customHeight="1" x14ac:dyDescent="0.35">
      <c r="A24" s="57">
        <v>11</v>
      </c>
      <c r="B24" s="68" t="s">
        <v>25</v>
      </c>
      <c r="C24" s="57" t="s">
        <v>115</v>
      </c>
      <c r="D24" s="57">
        <v>1957</v>
      </c>
      <c r="E24" s="57">
        <v>4</v>
      </c>
      <c r="F24" s="56">
        <v>2645.9</v>
      </c>
      <c r="G24" s="56">
        <v>2608.3000000000002</v>
      </c>
      <c r="H24" s="56">
        <v>1121.0999999999999</v>
      </c>
      <c r="I24" s="57" t="s">
        <v>26</v>
      </c>
      <c r="J24" s="57" t="s">
        <v>27</v>
      </c>
      <c r="K24" s="57" t="s">
        <v>28</v>
      </c>
      <c r="L24" s="19"/>
      <c r="M24" s="69"/>
      <c r="N24" s="69"/>
      <c r="O24" s="69"/>
      <c r="P24" s="69"/>
      <c r="Q24" s="69"/>
      <c r="R24" s="69"/>
      <c r="S24" s="69"/>
      <c r="T24" s="69"/>
      <c r="U24" s="19"/>
      <c r="V24" s="19"/>
      <c r="W24" s="69">
        <f>ROUND(G24*5975.33,2)</f>
        <v>15585453.24</v>
      </c>
      <c r="X24" s="19"/>
      <c r="Y24" s="19"/>
      <c r="Z24" s="19"/>
      <c r="AA24" s="69">
        <v>1144066.8</v>
      </c>
      <c r="AB24" s="69">
        <f>ROUND((M24+V24+W24+X24+Y24+Z24)*0.015,2)</f>
        <v>233781.8</v>
      </c>
      <c r="AC24" s="69">
        <f>SUM(N24:AB24)</f>
        <v>16963301.84</v>
      </c>
      <c r="AD24" s="19"/>
      <c r="AE24" s="19"/>
      <c r="AF24" s="92">
        <f>AC24</f>
        <v>16963301.84</v>
      </c>
      <c r="AG24" s="57">
        <v>2023</v>
      </c>
      <c r="AH24" s="57">
        <v>2023</v>
      </c>
    </row>
    <row r="25" spans="1:34" ht="109.9" customHeight="1" x14ac:dyDescent="0.35">
      <c r="A25" s="57">
        <v>12</v>
      </c>
      <c r="B25" s="68" t="s">
        <v>25</v>
      </c>
      <c r="C25" s="57" t="s">
        <v>116</v>
      </c>
      <c r="D25" s="57">
        <v>1952</v>
      </c>
      <c r="E25" s="57">
        <v>4</v>
      </c>
      <c r="F25" s="56">
        <v>1204.9000000000001</v>
      </c>
      <c r="G25" s="56">
        <v>1070</v>
      </c>
      <c r="H25" s="56">
        <v>788.9</v>
      </c>
      <c r="I25" s="57" t="s">
        <v>26</v>
      </c>
      <c r="J25" s="57" t="s">
        <v>29</v>
      </c>
      <c r="K25" s="57" t="s">
        <v>28</v>
      </c>
      <c r="L25" s="19"/>
      <c r="M25" s="69">
        <f t="shared" si="15"/>
        <v>8276621.1999999993</v>
      </c>
      <c r="N25" s="69">
        <f>ROUND(G25*616.25,2)</f>
        <v>659387.5</v>
      </c>
      <c r="O25" s="69">
        <f>ROUND(G25*4857.9,2)</f>
        <v>5197953</v>
      </c>
      <c r="P25" s="69"/>
      <c r="Q25" s="69">
        <f t="shared" si="16"/>
        <v>638126.6</v>
      </c>
      <c r="R25" s="69">
        <f t="shared" si="17"/>
        <v>631171.6</v>
      </c>
      <c r="S25" s="19"/>
      <c r="T25" s="69">
        <f t="shared" si="18"/>
        <v>1149982.5</v>
      </c>
      <c r="U25" s="69"/>
      <c r="V25" s="19"/>
      <c r="W25" s="19"/>
      <c r="X25" s="19"/>
      <c r="Y25" s="19"/>
      <c r="Z25" s="19"/>
      <c r="AA25" s="69">
        <v>868537.2</v>
      </c>
      <c r="AB25" s="69">
        <f t="shared" si="5"/>
        <v>124149.32</v>
      </c>
      <c r="AC25" s="69">
        <f t="shared" si="9"/>
        <v>9269307.7199999988</v>
      </c>
      <c r="AD25" s="19"/>
      <c r="AE25" s="19"/>
      <c r="AF25" s="92">
        <f t="shared" si="6"/>
        <v>9269307.7199999988</v>
      </c>
      <c r="AG25" s="57">
        <v>2023</v>
      </c>
      <c r="AH25" s="57">
        <v>2023</v>
      </c>
    </row>
    <row r="26" spans="1:34" ht="109.9" customHeight="1" x14ac:dyDescent="0.35">
      <c r="A26" s="57">
        <v>13</v>
      </c>
      <c r="B26" s="68" t="s">
        <v>25</v>
      </c>
      <c r="C26" s="57" t="s">
        <v>117</v>
      </c>
      <c r="D26" s="57">
        <v>1950</v>
      </c>
      <c r="E26" s="57">
        <v>6</v>
      </c>
      <c r="F26" s="56">
        <v>10110</v>
      </c>
      <c r="G26" s="56">
        <f>6512.7+2588.9</f>
        <v>9101.6</v>
      </c>
      <c r="H26" s="56">
        <v>6521.7</v>
      </c>
      <c r="I26" s="57">
        <v>179</v>
      </c>
      <c r="J26" s="57" t="s">
        <v>27</v>
      </c>
      <c r="K26" s="57" t="s">
        <v>28</v>
      </c>
      <c r="L26" s="19" t="s">
        <v>9</v>
      </c>
      <c r="M26" s="69">
        <f>SUM(N26:U26)</f>
        <v>3077341.98</v>
      </c>
      <c r="N26" s="69"/>
      <c r="O26" s="69"/>
      <c r="P26" s="69"/>
      <c r="Q26" s="19"/>
      <c r="R26" s="19"/>
      <c r="S26" s="19"/>
      <c r="T26" s="19"/>
      <c r="U26" s="69">
        <f>ROUND(G26*338.11,2)</f>
        <v>3077341.98</v>
      </c>
      <c r="V26" s="19"/>
      <c r="W26" s="19"/>
      <c r="X26" s="69">
        <f>ROUND(G26*706.71,2)</f>
        <v>6432191.7400000002</v>
      </c>
      <c r="Y26" s="69"/>
      <c r="Z26" s="69">
        <f>ROUND(G26*1135.41,2)</f>
        <v>10334047.66</v>
      </c>
      <c r="AA26" s="69">
        <v>2843278.8</v>
      </c>
      <c r="AB26" s="69">
        <f t="shared" si="5"/>
        <v>297653.71999999997</v>
      </c>
      <c r="AC26" s="69">
        <f t="shared" si="9"/>
        <v>22984513.900000002</v>
      </c>
      <c r="AD26" s="19"/>
      <c r="AE26" s="19"/>
      <c r="AF26" s="92">
        <f t="shared" si="6"/>
        <v>22984513.900000002</v>
      </c>
      <c r="AG26" s="57">
        <v>2023</v>
      </c>
      <c r="AH26" s="57">
        <v>2023</v>
      </c>
    </row>
    <row r="27" spans="1:34" ht="109.9" customHeight="1" x14ac:dyDescent="0.35">
      <c r="A27" s="57">
        <v>14</v>
      </c>
      <c r="B27" s="68" t="s">
        <v>25</v>
      </c>
      <c r="C27" s="57" t="s">
        <v>118</v>
      </c>
      <c r="D27" s="57">
        <v>1950</v>
      </c>
      <c r="E27" s="57">
        <v>5</v>
      </c>
      <c r="F27" s="56">
        <v>3120.3</v>
      </c>
      <c r="G27" s="56">
        <v>2795</v>
      </c>
      <c r="H27" s="56">
        <v>1139.5999999999999</v>
      </c>
      <c r="I27" s="57">
        <v>68</v>
      </c>
      <c r="J27" s="57" t="s">
        <v>27</v>
      </c>
      <c r="K27" s="57" t="s">
        <v>28</v>
      </c>
      <c r="L27" s="19"/>
      <c r="M27" s="69">
        <f>SUM(N27:U27)</f>
        <v>945017.45</v>
      </c>
      <c r="N27" s="19"/>
      <c r="O27" s="19"/>
      <c r="P27" s="19"/>
      <c r="Q27" s="19"/>
      <c r="R27" s="19"/>
      <c r="S27" s="19"/>
      <c r="T27" s="19"/>
      <c r="U27" s="69">
        <f t="shared" ref="U27" si="22">ROUND(G27*338.11,2)</f>
        <v>945017.45</v>
      </c>
      <c r="V27" s="19"/>
      <c r="W27" s="19"/>
      <c r="X27" s="19"/>
      <c r="Y27" s="19"/>
      <c r="Z27" s="19"/>
      <c r="AA27" s="69">
        <v>653260.80000000005</v>
      </c>
      <c r="AB27" s="69">
        <f t="shared" si="5"/>
        <v>14175.26</v>
      </c>
      <c r="AC27" s="69">
        <f t="shared" si="9"/>
        <v>1612453.51</v>
      </c>
      <c r="AD27" s="19"/>
      <c r="AE27" s="19"/>
      <c r="AF27" s="92">
        <f t="shared" si="6"/>
        <v>1612453.51</v>
      </c>
      <c r="AG27" s="57">
        <v>2023</v>
      </c>
      <c r="AH27" s="57">
        <v>2023</v>
      </c>
    </row>
    <row r="28" spans="1:34" ht="109.9" customHeight="1" x14ac:dyDescent="0.35">
      <c r="A28" s="57">
        <v>15</v>
      </c>
      <c r="B28" s="68" t="s">
        <v>25</v>
      </c>
      <c r="C28" s="57" t="s">
        <v>119</v>
      </c>
      <c r="D28" s="57">
        <v>1951</v>
      </c>
      <c r="E28" s="57">
        <v>6</v>
      </c>
      <c r="F28" s="56">
        <v>10467.6</v>
      </c>
      <c r="G28" s="56">
        <f>6584+2807.4</f>
        <v>9391.4</v>
      </c>
      <c r="H28" s="56">
        <v>6584</v>
      </c>
      <c r="I28" s="57">
        <v>167</v>
      </c>
      <c r="J28" s="57" t="s">
        <v>27</v>
      </c>
      <c r="K28" s="57" t="s">
        <v>28</v>
      </c>
      <c r="L28" s="19" t="s">
        <v>9</v>
      </c>
      <c r="M28" s="69">
        <f>SUM(N28:U28)</f>
        <v>35856177.370000005</v>
      </c>
      <c r="N28" s="69">
        <f>ROUND(G28*616.25,2)</f>
        <v>5787450.25</v>
      </c>
      <c r="O28" s="69">
        <f>ROUND(G28*3201.73,2)</f>
        <v>30068727.120000001</v>
      </c>
      <c r="P28" s="69"/>
      <c r="Q28" s="69"/>
      <c r="R28" s="69"/>
      <c r="S28" s="19"/>
      <c r="T28" s="69"/>
      <c r="U28" s="19"/>
      <c r="V28" s="19"/>
      <c r="W28" s="19"/>
      <c r="X28" s="69">
        <v>8135112.4199999999</v>
      </c>
      <c r="Y28" s="19"/>
      <c r="Z28" s="69">
        <v>10663089.470000001</v>
      </c>
      <c r="AA28" s="69">
        <v>3369510</v>
      </c>
      <c r="AB28" s="69">
        <f>ROUND((N28+O28+V28+W28+X28+Y28+Z28)*0.015,2)</f>
        <v>819815.69</v>
      </c>
      <c r="AC28" s="69">
        <f t="shared" si="9"/>
        <v>58843704.950000003</v>
      </c>
      <c r="AD28" s="92"/>
      <c r="AE28" s="92"/>
      <c r="AF28" s="92">
        <f t="shared" si="6"/>
        <v>58843704.950000003</v>
      </c>
      <c r="AG28" s="57">
        <v>2023</v>
      </c>
      <c r="AH28" s="57">
        <v>2023</v>
      </c>
    </row>
    <row r="29" spans="1:34" ht="109.9" customHeight="1" x14ac:dyDescent="0.35">
      <c r="A29" s="57">
        <v>16</v>
      </c>
      <c r="B29" s="68" t="s">
        <v>25</v>
      </c>
      <c r="C29" s="57" t="s">
        <v>120</v>
      </c>
      <c r="D29" s="57">
        <v>1972</v>
      </c>
      <c r="E29" s="57">
        <v>9</v>
      </c>
      <c r="F29" s="56">
        <v>4577</v>
      </c>
      <c r="G29" s="56">
        <f>3908+34.2</f>
        <v>3942.2</v>
      </c>
      <c r="H29" s="56">
        <v>3908</v>
      </c>
      <c r="I29" s="57">
        <v>167</v>
      </c>
      <c r="J29" s="57" t="s">
        <v>27</v>
      </c>
      <c r="K29" s="57" t="s">
        <v>28</v>
      </c>
      <c r="L29" s="19"/>
      <c r="M29" s="69"/>
      <c r="N29" s="19"/>
      <c r="O29" s="19"/>
      <c r="P29" s="19"/>
      <c r="Q29" s="19"/>
      <c r="R29" s="19"/>
      <c r="S29" s="19"/>
      <c r="T29" s="19"/>
      <c r="U29" s="19"/>
      <c r="V29" s="19"/>
      <c r="W29" s="69">
        <f>ROUND(G29*1914.17,2)</f>
        <v>7546040.9699999997</v>
      </c>
      <c r="X29" s="69"/>
      <c r="Y29" s="19"/>
      <c r="Z29" s="69"/>
      <c r="AA29" s="69">
        <v>1114467.6000000001</v>
      </c>
      <c r="AB29" s="69">
        <f t="shared" si="5"/>
        <v>113190.61</v>
      </c>
      <c r="AC29" s="69">
        <f t="shared" si="9"/>
        <v>8773699.1799999997</v>
      </c>
      <c r="AD29" s="19"/>
      <c r="AE29" s="19"/>
      <c r="AF29" s="92">
        <f t="shared" si="6"/>
        <v>8773699.1799999997</v>
      </c>
      <c r="AG29" s="57">
        <v>2023</v>
      </c>
      <c r="AH29" s="57">
        <v>2023</v>
      </c>
    </row>
    <row r="30" spans="1:34" ht="109.9" customHeight="1" x14ac:dyDescent="0.35">
      <c r="A30" s="57">
        <v>17</v>
      </c>
      <c r="B30" s="68" t="s">
        <v>25</v>
      </c>
      <c r="C30" s="57" t="s">
        <v>121</v>
      </c>
      <c r="D30" s="57">
        <v>1973</v>
      </c>
      <c r="E30" s="57">
        <v>9</v>
      </c>
      <c r="F30" s="56">
        <v>12825.2</v>
      </c>
      <c r="G30" s="56">
        <f>10958.1+328.3</f>
        <v>11286.4</v>
      </c>
      <c r="H30" s="56">
        <v>10958.1</v>
      </c>
      <c r="I30" s="57" t="s">
        <v>30</v>
      </c>
      <c r="J30" s="57" t="s">
        <v>27</v>
      </c>
      <c r="K30" s="57" t="s">
        <v>28</v>
      </c>
      <c r="L30" s="19"/>
      <c r="M30" s="69"/>
      <c r="N30" s="19"/>
      <c r="O30" s="19"/>
      <c r="P30" s="19"/>
      <c r="Q30" s="19"/>
      <c r="R30" s="19"/>
      <c r="S30" s="19"/>
      <c r="T30" s="19"/>
      <c r="U30" s="19"/>
      <c r="V30" s="19"/>
      <c r="W30" s="69">
        <f>ROUND(G30*1914.17,2)</f>
        <v>21604088.289999999</v>
      </c>
      <c r="X30" s="19"/>
      <c r="Y30" s="19"/>
      <c r="Z30" s="19"/>
      <c r="AA30" s="69">
        <v>1476280.8</v>
      </c>
      <c r="AB30" s="69">
        <f t="shared" si="5"/>
        <v>324061.32</v>
      </c>
      <c r="AC30" s="69">
        <f t="shared" si="9"/>
        <v>23404430.41</v>
      </c>
      <c r="AD30" s="19"/>
      <c r="AE30" s="19"/>
      <c r="AF30" s="92">
        <f t="shared" si="6"/>
        <v>23404430.41</v>
      </c>
      <c r="AG30" s="57">
        <v>2023</v>
      </c>
      <c r="AH30" s="57">
        <v>2023</v>
      </c>
    </row>
    <row r="31" spans="1:34" ht="109.9" customHeight="1" x14ac:dyDescent="0.35">
      <c r="A31" s="57">
        <v>18</v>
      </c>
      <c r="B31" s="68" t="s">
        <v>25</v>
      </c>
      <c r="C31" s="57" t="s">
        <v>122</v>
      </c>
      <c r="D31" s="57">
        <v>1949</v>
      </c>
      <c r="E31" s="57">
        <v>2</v>
      </c>
      <c r="F31" s="56">
        <v>930.4</v>
      </c>
      <c r="G31" s="56">
        <v>930.4</v>
      </c>
      <c r="H31" s="56">
        <v>930.4</v>
      </c>
      <c r="I31" s="57">
        <v>14</v>
      </c>
      <c r="J31" s="57" t="s">
        <v>27</v>
      </c>
      <c r="K31" s="57" t="s">
        <v>28</v>
      </c>
      <c r="L31" s="19"/>
      <c r="M31" s="69"/>
      <c r="N31" s="19"/>
      <c r="O31" s="19"/>
      <c r="P31" s="19"/>
      <c r="Q31" s="19"/>
      <c r="R31" s="19"/>
      <c r="S31" s="19"/>
      <c r="T31" s="19"/>
      <c r="U31" s="19"/>
      <c r="V31" s="19"/>
      <c r="W31" s="69"/>
      <c r="X31" s="19"/>
      <c r="Y31" s="69">
        <f>ROUND(G31*6480.9,2)</f>
        <v>6029829.3600000003</v>
      </c>
      <c r="Z31" s="19"/>
      <c r="AA31" s="69">
        <v>377221.2</v>
      </c>
      <c r="AB31" s="69">
        <f t="shared" si="5"/>
        <v>90447.44</v>
      </c>
      <c r="AC31" s="69">
        <f t="shared" si="9"/>
        <v>6497498.0000000009</v>
      </c>
      <c r="AD31" s="19"/>
      <c r="AE31" s="19"/>
      <c r="AF31" s="92">
        <f t="shared" si="6"/>
        <v>6497498.0000000009</v>
      </c>
      <c r="AG31" s="57">
        <v>2023</v>
      </c>
      <c r="AH31" s="57">
        <v>2023</v>
      </c>
    </row>
    <row r="32" spans="1:34" ht="109.9" customHeight="1" x14ac:dyDescent="0.35">
      <c r="A32" s="57">
        <v>19</v>
      </c>
      <c r="B32" s="68" t="s">
        <v>25</v>
      </c>
      <c r="C32" s="57" t="s">
        <v>123</v>
      </c>
      <c r="D32" s="57">
        <v>1972</v>
      </c>
      <c r="E32" s="57">
        <v>5</v>
      </c>
      <c r="F32" s="56">
        <v>3198.3</v>
      </c>
      <c r="G32" s="56">
        <f>2700.3+225.5</f>
        <v>2925.8</v>
      </c>
      <c r="H32" s="56">
        <v>2700.3</v>
      </c>
      <c r="I32" s="57" t="s">
        <v>31</v>
      </c>
      <c r="J32" s="57" t="s">
        <v>27</v>
      </c>
      <c r="K32" s="57" t="s">
        <v>28</v>
      </c>
      <c r="L32" s="19"/>
      <c r="M32" s="69"/>
      <c r="N32" s="19"/>
      <c r="O32" s="19"/>
      <c r="P32" s="19"/>
      <c r="Q32" s="19"/>
      <c r="R32" s="19"/>
      <c r="S32" s="19"/>
      <c r="T32" s="19"/>
      <c r="U32" s="19"/>
      <c r="V32" s="19"/>
      <c r="W32" s="69">
        <f>ROUND(G32*3517.3,2)</f>
        <v>10290916.34</v>
      </c>
      <c r="X32" s="19"/>
      <c r="Y32" s="19"/>
      <c r="Z32" s="69"/>
      <c r="AA32" s="69">
        <v>692727.6</v>
      </c>
      <c r="AB32" s="69">
        <f t="shared" si="5"/>
        <v>154363.75</v>
      </c>
      <c r="AC32" s="69">
        <f t="shared" si="9"/>
        <v>11138007.689999999</v>
      </c>
      <c r="AD32" s="19"/>
      <c r="AE32" s="19"/>
      <c r="AF32" s="92">
        <f t="shared" si="6"/>
        <v>11138007.689999999</v>
      </c>
      <c r="AG32" s="57">
        <v>2023</v>
      </c>
      <c r="AH32" s="57">
        <v>2023</v>
      </c>
    </row>
    <row r="33" spans="1:34" ht="109.9" customHeight="1" x14ac:dyDescent="0.35">
      <c r="A33" s="57">
        <v>20</v>
      </c>
      <c r="B33" s="68" t="s">
        <v>25</v>
      </c>
      <c r="C33" s="57" t="s">
        <v>124</v>
      </c>
      <c r="D33" s="57">
        <v>1972</v>
      </c>
      <c r="E33" s="57">
        <v>5</v>
      </c>
      <c r="F33" s="56">
        <v>5181.1000000000004</v>
      </c>
      <c r="G33" s="56">
        <f>3957.5+750.7</f>
        <v>4708.2</v>
      </c>
      <c r="H33" s="56">
        <v>3957.5</v>
      </c>
      <c r="I33" s="57" t="s">
        <v>32</v>
      </c>
      <c r="J33" s="57" t="s">
        <v>27</v>
      </c>
      <c r="K33" s="57" t="s">
        <v>28</v>
      </c>
      <c r="L33" s="19"/>
      <c r="M33" s="69"/>
      <c r="N33" s="19"/>
      <c r="O33" s="19"/>
      <c r="P33" s="19"/>
      <c r="Q33" s="19"/>
      <c r="R33" s="19"/>
      <c r="S33" s="19"/>
      <c r="T33" s="19"/>
      <c r="U33" s="19"/>
      <c r="V33" s="19"/>
      <c r="W33" s="69">
        <f>ROUND(G33*3517.3,2)</f>
        <v>16560151.859999999</v>
      </c>
      <c r="X33" s="19"/>
      <c r="Y33" s="19"/>
      <c r="Z33" s="69"/>
      <c r="AA33" s="69">
        <v>784846.8</v>
      </c>
      <c r="AB33" s="69">
        <f t="shared" si="5"/>
        <v>248402.28</v>
      </c>
      <c r="AC33" s="69">
        <f t="shared" si="9"/>
        <v>17593400.940000001</v>
      </c>
      <c r="AD33" s="19"/>
      <c r="AE33" s="19"/>
      <c r="AF33" s="92">
        <f t="shared" si="6"/>
        <v>17593400.940000001</v>
      </c>
      <c r="AG33" s="57">
        <v>2023</v>
      </c>
      <c r="AH33" s="57">
        <v>2023</v>
      </c>
    </row>
    <row r="34" spans="1:34" ht="109.9" customHeight="1" x14ac:dyDescent="0.35">
      <c r="A34" s="57">
        <v>21</v>
      </c>
      <c r="B34" s="68" t="s">
        <v>25</v>
      </c>
      <c r="C34" s="57" t="s">
        <v>125</v>
      </c>
      <c r="D34" s="57">
        <v>1971</v>
      </c>
      <c r="E34" s="57">
        <v>5</v>
      </c>
      <c r="F34" s="56">
        <v>6400.9</v>
      </c>
      <c r="G34" s="56">
        <v>5822.5</v>
      </c>
      <c r="H34" s="56">
        <v>5792</v>
      </c>
      <c r="I34" s="57" t="s">
        <v>33</v>
      </c>
      <c r="J34" s="57" t="s">
        <v>27</v>
      </c>
      <c r="K34" s="57" t="s">
        <v>28</v>
      </c>
      <c r="L34" s="19"/>
      <c r="M34" s="69"/>
      <c r="N34" s="19"/>
      <c r="O34" s="19"/>
      <c r="P34" s="19"/>
      <c r="Q34" s="19"/>
      <c r="R34" s="19"/>
      <c r="S34" s="19"/>
      <c r="T34" s="19"/>
      <c r="U34" s="19"/>
      <c r="V34" s="19"/>
      <c r="W34" s="69">
        <f>ROUND(G34*3517.3,2)</f>
        <v>20479479.25</v>
      </c>
      <c r="X34" s="19"/>
      <c r="Y34" s="19"/>
      <c r="Z34" s="69"/>
      <c r="AA34" s="69">
        <v>825242.4</v>
      </c>
      <c r="AB34" s="69">
        <f t="shared" si="5"/>
        <v>307192.19</v>
      </c>
      <c r="AC34" s="69">
        <f t="shared" si="9"/>
        <v>21611913.84</v>
      </c>
      <c r="AD34" s="19"/>
      <c r="AE34" s="19"/>
      <c r="AF34" s="92">
        <f t="shared" si="6"/>
        <v>21611913.84</v>
      </c>
      <c r="AG34" s="57">
        <v>2023</v>
      </c>
      <c r="AH34" s="57">
        <v>2023</v>
      </c>
    </row>
    <row r="35" spans="1:34" ht="109.9" customHeight="1" x14ac:dyDescent="0.35">
      <c r="A35" s="57">
        <v>22</v>
      </c>
      <c r="B35" s="68" t="s">
        <v>25</v>
      </c>
      <c r="C35" s="57" t="s">
        <v>126</v>
      </c>
      <c r="D35" s="57">
        <v>1986</v>
      </c>
      <c r="E35" s="57">
        <v>9</v>
      </c>
      <c r="F35" s="56">
        <v>9097.7000000000007</v>
      </c>
      <c r="G35" s="56">
        <f>7813.6+127.2</f>
        <v>7940.8</v>
      </c>
      <c r="H35" s="56">
        <v>7813.6</v>
      </c>
      <c r="I35" s="57">
        <v>298</v>
      </c>
      <c r="J35" s="57" t="s">
        <v>27</v>
      </c>
      <c r="K35" s="57" t="s">
        <v>28</v>
      </c>
      <c r="L35" s="19"/>
      <c r="M35" s="69"/>
      <c r="N35" s="19"/>
      <c r="O35" s="19"/>
      <c r="P35" s="19"/>
      <c r="Q35" s="19"/>
      <c r="R35" s="19"/>
      <c r="S35" s="19"/>
      <c r="T35" s="19"/>
      <c r="U35" s="19"/>
      <c r="V35" s="19"/>
      <c r="W35" s="69">
        <f>ROUND(G35*1914.17,2)</f>
        <v>15200041.140000001</v>
      </c>
      <c r="X35" s="19"/>
      <c r="Y35" s="19"/>
      <c r="Z35" s="69"/>
      <c r="AA35" s="69">
        <v>1290904.8</v>
      </c>
      <c r="AB35" s="69">
        <f t="shared" si="5"/>
        <v>228000.62</v>
      </c>
      <c r="AC35" s="69">
        <f t="shared" si="9"/>
        <v>16718946.560000001</v>
      </c>
      <c r="AD35" s="19"/>
      <c r="AE35" s="19"/>
      <c r="AF35" s="92">
        <f t="shared" si="6"/>
        <v>16718946.560000001</v>
      </c>
      <c r="AG35" s="57">
        <v>2023</v>
      </c>
      <c r="AH35" s="57">
        <v>2023</v>
      </c>
    </row>
    <row r="36" spans="1:34" ht="109.9" customHeight="1" x14ac:dyDescent="0.35">
      <c r="A36" s="57">
        <v>23</v>
      </c>
      <c r="B36" s="68" t="s">
        <v>25</v>
      </c>
      <c r="C36" s="57" t="s">
        <v>127</v>
      </c>
      <c r="D36" s="57">
        <v>1972</v>
      </c>
      <c r="E36" s="57">
        <v>5</v>
      </c>
      <c r="F36" s="56">
        <v>3491.7</v>
      </c>
      <c r="G36" s="56">
        <v>3181.7</v>
      </c>
      <c r="H36" s="56">
        <v>2671.3</v>
      </c>
      <c r="I36" s="57" t="s">
        <v>34</v>
      </c>
      <c r="J36" s="57" t="s">
        <v>27</v>
      </c>
      <c r="K36" s="57" t="s">
        <v>28</v>
      </c>
      <c r="L36" s="19"/>
      <c r="M36" s="69"/>
      <c r="N36" s="19"/>
      <c r="O36" s="19"/>
      <c r="P36" s="19"/>
      <c r="Q36" s="19"/>
      <c r="R36" s="19"/>
      <c r="S36" s="19"/>
      <c r="T36" s="19"/>
      <c r="U36" s="19"/>
      <c r="V36" s="19"/>
      <c r="W36" s="69">
        <f>ROUND(G36*3517.3,2)</f>
        <v>11190993.41</v>
      </c>
      <c r="X36" s="19"/>
      <c r="Y36" s="69"/>
      <c r="Z36" s="19"/>
      <c r="AA36" s="69">
        <v>708530.4</v>
      </c>
      <c r="AB36" s="69">
        <f t="shared" si="5"/>
        <v>167864.9</v>
      </c>
      <c r="AC36" s="69">
        <f t="shared" si="9"/>
        <v>12067388.710000001</v>
      </c>
      <c r="AD36" s="19"/>
      <c r="AE36" s="19"/>
      <c r="AF36" s="92">
        <f t="shared" si="6"/>
        <v>12067388.710000001</v>
      </c>
      <c r="AG36" s="57">
        <v>2023</v>
      </c>
      <c r="AH36" s="57">
        <v>2023</v>
      </c>
    </row>
    <row r="37" spans="1:34" ht="109.9" customHeight="1" x14ac:dyDescent="0.35">
      <c r="A37" s="57">
        <v>24</v>
      </c>
      <c r="B37" s="68" t="s">
        <v>25</v>
      </c>
      <c r="C37" s="57" t="s">
        <v>128</v>
      </c>
      <c r="D37" s="57">
        <v>1975</v>
      </c>
      <c r="E37" s="57">
        <v>9</v>
      </c>
      <c r="F37" s="56">
        <v>4542.8999999999996</v>
      </c>
      <c r="G37" s="56">
        <f>3829.9+79.7</f>
        <v>3909.6</v>
      </c>
      <c r="H37" s="56">
        <v>3829.9</v>
      </c>
      <c r="I37" s="57">
        <v>139</v>
      </c>
      <c r="J37" s="57" t="s">
        <v>27</v>
      </c>
      <c r="K37" s="57" t="s">
        <v>28</v>
      </c>
      <c r="L37" s="19"/>
      <c r="M37" s="69"/>
      <c r="N37" s="19"/>
      <c r="O37" s="19"/>
      <c r="P37" s="19"/>
      <c r="Q37" s="19"/>
      <c r="R37" s="19"/>
      <c r="S37" s="19"/>
      <c r="T37" s="19"/>
      <c r="U37" s="19"/>
      <c r="V37" s="19"/>
      <c r="W37" s="69">
        <f>ROUND(G37*1914.17,2)</f>
        <v>7483639.0300000003</v>
      </c>
      <c r="X37" s="19"/>
      <c r="Y37" s="19"/>
      <c r="Z37" s="19"/>
      <c r="AA37" s="69">
        <v>1115485.2</v>
      </c>
      <c r="AB37" s="69">
        <f t="shared" si="5"/>
        <v>112254.59</v>
      </c>
      <c r="AC37" s="69">
        <f t="shared" si="9"/>
        <v>8711378.8200000003</v>
      </c>
      <c r="AD37" s="19"/>
      <c r="AE37" s="19"/>
      <c r="AF37" s="92">
        <f t="shared" si="6"/>
        <v>8711378.8200000003</v>
      </c>
      <c r="AG37" s="57">
        <v>2023</v>
      </c>
      <c r="AH37" s="57">
        <v>2023</v>
      </c>
    </row>
    <row r="38" spans="1:34" ht="109.9" customHeight="1" x14ac:dyDescent="0.35">
      <c r="A38" s="57">
        <v>25</v>
      </c>
      <c r="B38" s="68" t="s">
        <v>25</v>
      </c>
      <c r="C38" s="57" t="s">
        <v>129</v>
      </c>
      <c r="D38" s="57">
        <v>1954</v>
      </c>
      <c r="E38" s="57">
        <v>5</v>
      </c>
      <c r="F38" s="56">
        <v>4124.7</v>
      </c>
      <c r="G38" s="56">
        <v>3893.6</v>
      </c>
      <c r="H38" s="56" t="s">
        <v>35</v>
      </c>
      <c r="I38" s="57" t="s">
        <v>36</v>
      </c>
      <c r="J38" s="57" t="s">
        <v>27</v>
      </c>
      <c r="K38" s="57" t="s">
        <v>28</v>
      </c>
      <c r="L38" s="19"/>
      <c r="M38" s="69">
        <f>SUM(N38:U38)</f>
        <v>22445202.310000002</v>
      </c>
      <c r="N38" s="69">
        <f>ROUND(G38*616.25,2)</f>
        <v>2399431</v>
      </c>
      <c r="O38" s="69">
        <f>ROUND(G38*3201.73,2)</f>
        <v>12466255.93</v>
      </c>
      <c r="P38" s="69"/>
      <c r="Q38" s="69">
        <f>ROUND(G38*620.83,2)</f>
        <v>2417263.69</v>
      </c>
      <c r="R38" s="69">
        <f>ROUND(G38*660.21,2)</f>
        <v>2570593.66</v>
      </c>
      <c r="S38" s="69"/>
      <c r="T38" s="69">
        <f>ROUND(G38*665.62,2)</f>
        <v>2591658.0299999998</v>
      </c>
      <c r="U38" s="19"/>
      <c r="V38" s="19"/>
      <c r="W38" s="19"/>
      <c r="X38" s="69">
        <f>ROUND(G38*706.71,2)</f>
        <v>2751646.06</v>
      </c>
      <c r="Y38" s="69">
        <f>ROUND(G38*3435.59,2)</f>
        <v>13376813.220000001</v>
      </c>
      <c r="Z38" s="69">
        <f>ROUND(G38*1135.41,2)</f>
        <v>4420832.38</v>
      </c>
      <c r="AA38" s="69">
        <v>2304175.2000000002</v>
      </c>
      <c r="AB38" s="69">
        <f>ROUND((M38+V38+W38+X38+Y38+Z38)*0.015,2)</f>
        <v>644917.41</v>
      </c>
      <c r="AC38" s="69">
        <f>SUM(N38:AB38)</f>
        <v>45943586.580000006</v>
      </c>
      <c r="AD38" s="19"/>
      <c r="AE38" s="19"/>
      <c r="AF38" s="92">
        <f>AC38-(AD38+AE38)</f>
        <v>45943586.580000006</v>
      </c>
      <c r="AG38" s="57">
        <v>2023</v>
      </c>
      <c r="AH38" s="57">
        <v>2023</v>
      </c>
    </row>
    <row r="39" spans="1:34" ht="109.9" customHeight="1" x14ac:dyDescent="0.35">
      <c r="A39" s="57">
        <v>26</v>
      </c>
      <c r="B39" s="68" t="s">
        <v>25</v>
      </c>
      <c r="C39" s="57" t="s">
        <v>130</v>
      </c>
      <c r="D39" s="57">
        <v>1963</v>
      </c>
      <c r="E39" s="57">
        <v>5</v>
      </c>
      <c r="F39" s="56">
        <v>3563.7</v>
      </c>
      <c r="G39" s="56">
        <v>3533.2</v>
      </c>
      <c r="H39" s="56">
        <v>3533.2</v>
      </c>
      <c r="I39" s="57">
        <v>196</v>
      </c>
      <c r="J39" s="57" t="s">
        <v>27</v>
      </c>
      <c r="K39" s="57" t="s">
        <v>28</v>
      </c>
      <c r="L39" s="19"/>
      <c r="M39" s="69"/>
      <c r="N39" s="69"/>
      <c r="O39" s="69"/>
      <c r="P39" s="69"/>
      <c r="Q39" s="69"/>
      <c r="R39" s="69"/>
      <c r="S39" s="19"/>
      <c r="T39" s="69"/>
      <c r="U39" s="19"/>
      <c r="V39" s="19"/>
      <c r="W39" s="19"/>
      <c r="X39" s="69"/>
      <c r="Y39" s="69">
        <f>ROUND(G39*3170.13,2)</f>
        <v>11200703.32</v>
      </c>
      <c r="Z39" s="69"/>
      <c r="AA39" s="69">
        <v>937663.2</v>
      </c>
      <c r="AB39" s="69">
        <f t="shared" si="5"/>
        <v>168010.55</v>
      </c>
      <c r="AC39" s="69">
        <f t="shared" si="9"/>
        <v>12306377.07</v>
      </c>
      <c r="AD39" s="19"/>
      <c r="AE39" s="19"/>
      <c r="AF39" s="92">
        <f t="shared" si="6"/>
        <v>12306377.07</v>
      </c>
      <c r="AG39" s="57">
        <v>2023</v>
      </c>
      <c r="AH39" s="57">
        <v>2023</v>
      </c>
    </row>
    <row r="40" spans="1:34" ht="109.9" customHeight="1" x14ac:dyDescent="0.35">
      <c r="A40" s="57">
        <v>27</v>
      </c>
      <c r="B40" s="68" t="s">
        <v>25</v>
      </c>
      <c r="C40" s="57" t="s">
        <v>131</v>
      </c>
      <c r="D40" s="57">
        <v>1965</v>
      </c>
      <c r="E40" s="57">
        <v>5</v>
      </c>
      <c r="F40" s="56">
        <v>1744.3</v>
      </c>
      <c r="G40" s="56">
        <v>1614.1</v>
      </c>
      <c r="H40" s="56">
        <v>1481.6</v>
      </c>
      <c r="I40" s="57">
        <v>71</v>
      </c>
      <c r="J40" s="57" t="s">
        <v>27</v>
      </c>
      <c r="K40" s="57" t="s">
        <v>28</v>
      </c>
      <c r="L40" s="19"/>
      <c r="M40" s="69"/>
      <c r="N40" s="69"/>
      <c r="O40" s="69"/>
      <c r="P40" s="69"/>
      <c r="Q40" s="69"/>
      <c r="R40" s="69"/>
      <c r="S40" s="19"/>
      <c r="T40" s="69"/>
      <c r="U40" s="19"/>
      <c r="V40" s="19"/>
      <c r="W40" s="19"/>
      <c r="X40" s="69"/>
      <c r="Y40" s="69">
        <f>ROUND(G40*3284.11,2)</f>
        <v>5300881.95</v>
      </c>
      <c r="Z40" s="69"/>
      <c r="AA40" s="69">
        <v>794210.4</v>
      </c>
      <c r="AB40" s="69">
        <f t="shared" si="5"/>
        <v>79513.23</v>
      </c>
      <c r="AC40" s="69">
        <f t="shared" si="9"/>
        <v>6174605.580000001</v>
      </c>
      <c r="AD40" s="19"/>
      <c r="AE40" s="19"/>
      <c r="AF40" s="92">
        <f t="shared" si="6"/>
        <v>6174605.580000001</v>
      </c>
      <c r="AG40" s="57">
        <v>2023</v>
      </c>
      <c r="AH40" s="57">
        <v>2023</v>
      </c>
    </row>
    <row r="41" spans="1:34" ht="109.9" customHeight="1" x14ac:dyDescent="0.35">
      <c r="A41" s="57">
        <v>28</v>
      </c>
      <c r="B41" s="68" t="s">
        <v>25</v>
      </c>
      <c r="C41" s="57" t="s">
        <v>132</v>
      </c>
      <c r="D41" s="57">
        <v>1953</v>
      </c>
      <c r="E41" s="57">
        <v>4</v>
      </c>
      <c r="F41" s="56">
        <v>2275.4</v>
      </c>
      <c r="G41" s="56">
        <v>2271.1</v>
      </c>
      <c r="H41" s="56">
        <v>1405.4</v>
      </c>
      <c r="I41" s="57">
        <v>41</v>
      </c>
      <c r="J41" s="57" t="s">
        <v>27</v>
      </c>
      <c r="K41" s="57" t="s">
        <v>28</v>
      </c>
      <c r="L41" s="19"/>
      <c r="M41" s="69">
        <f t="shared" ref="M41" si="23">SUM(N41:U41)</f>
        <v>8513808.8499999996</v>
      </c>
      <c r="N41" s="69">
        <f>ROUND(G41*616.25,2)</f>
        <v>1399565.38</v>
      </c>
      <c r="O41" s="69">
        <f>ROUND(G41*871.5,2)</f>
        <v>1979263.65</v>
      </c>
      <c r="P41" s="69"/>
      <c r="Q41" s="69">
        <f t="shared" ref="Q41" si="24">ROUND(G41*596.38,2)</f>
        <v>1354438.62</v>
      </c>
      <c r="R41" s="69">
        <f t="shared" ref="R41" si="25">ROUND(G41*589.88,2)</f>
        <v>1339676.47</v>
      </c>
      <c r="S41" s="69"/>
      <c r="T41" s="69">
        <f t="shared" ref="T41" si="26">ROUND(G41*1074.75,2)</f>
        <v>2440864.73</v>
      </c>
      <c r="U41" s="69"/>
      <c r="V41" s="19"/>
      <c r="W41" s="19"/>
      <c r="X41" s="19">
        <v>4438297.18</v>
      </c>
      <c r="Y41" s="69">
        <f>ROUND(G41*2647.87,2)</f>
        <v>6013577.5599999996</v>
      </c>
      <c r="Z41" s="69">
        <f t="shared" ref="Z41" si="27">ROUND(G41*1135.41,2)</f>
        <v>2578629.65</v>
      </c>
      <c r="AA41" s="69">
        <f>372987.6+1539877.2</f>
        <v>1912864.7999999998</v>
      </c>
      <c r="AB41" s="69">
        <f t="shared" si="5"/>
        <v>323164.7</v>
      </c>
      <c r="AC41" s="69">
        <f t="shared" si="9"/>
        <v>23780342.739999998</v>
      </c>
      <c r="AD41" s="19"/>
      <c r="AE41" s="19"/>
      <c r="AF41" s="92">
        <f t="shared" si="6"/>
        <v>23780342.739999998</v>
      </c>
      <c r="AG41" s="57">
        <v>2023</v>
      </c>
      <c r="AH41" s="57">
        <v>2023</v>
      </c>
    </row>
    <row r="42" spans="1:34" ht="109.9" customHeight="1" x14ac:dyDescent="0.35">
      <c r="A42" s="57">
        <v>29</v>
      </c>
      <c r="B42" s="68" t="s">
        <v>25</v>
      </c>
      <c r="C42" s="57" t="s">
        <v>202</v>
      </c>
      <c r="D42" s="57">
        <v>1971</v>
      </c>
      <c r="E42" s="57">
        <v>5</v>
      </c>
      <c r="F42" s="56">
        <v>2745.7</v>
      </c>
      <c r="G42" s="56">
        <v>2728.5</v>
      </c>
      <c r="H42" s="56">
        <v>2716.1</v>
      </c>
      <c r="I42" s="57">
        <v>152</v>
      </c>
      <c r="J42" s="57" t="s">
        <v>27</v>
      </c>
      <c r="K42" s="57" t="s">
        <v>28</v>
      </c>
      <c r="L42" s="19"/>
      <c r="M42" s="69"/>
      <c r="N42" s="69"/>
      <c r="O42" s="69"/>
      <c r="P42" s="69"/>
      <c r="Q42" s="69"/>
      <c r="R42" s="69"/>
      <c r="S42" s="19"/>
      <c r="T42" s="69"/>
      <c r="U42" s="19"/>
      <c r="V42" s="19"/>
      <c r="W42" s="19"/>
      <c r="X42" s="19"/>
      <c r="Y42" s="69">
        <f>ROUND(G42*3170.13,2)</f>
        <v>8649699.7100000009</v>
      </c>
      <c r="Z42" s="19"/>
      <c r="AA42" s="69">
        <v>877893.6</v>
      </c>
      <c r="AB42" s="69">
        <f t="shared" si="5"/>
        <v>129745.5</v>
      </c>
      <c r="AC42" s="69">
        <f t="shared" si="9"/>
        <v>9657338.8100000005</v>
      </c>
      <c r="AD42" s="19"/>
      <c r="AE42" s="19"/>
      <c r="AF42" s="92">
        <f t="shared" si="6"/>
        <v>9657338.8100000005</v>
      </c>
      <c r="AG42" s="57">
        <v>2023</v>
      </c>
      <c r="AH42" s="57">
        <v>2023</v>
      </c>
    </row>
    <row r="43" spans="1:34" ht="109.9" customHeight="1" x14ac:dyDescent="0.35">
      <c r="A43" s="135" t="s">
        <v>133</v>
      </c>
      <c r="B43" s="135"/>
      <c r="C43" s="135"/>
      <c r="D43" s="57"/>
      <c r="E43" s="57"/>
      <c r="F43" s="56">
        <f>SUM(F14:F42)</f>
        <v>125246.99999999999</v>
      </c>
      <c r="G43" s="56">
        <f>SUM(G14:G42)</f>
        <v>112129.20000000001</v>
      </c>
      <c r="H43" s="56"/>
      <c r="I43" s="57"/>
      <c r="J43" s="57"/>
      <c r="K43" s="57"/>
      <c r="L43" s="57"/>
      <c r="M43" s="69">
        <f>SUM(M14:M42)</f>
        <v>173563215.52000001</v>
      </c>
      <c r="N43" s="69">
        <f>SUM(N14:N42)</f>
        <v>21536273.649999999</v>
      </c>
      <c r="O43" s="69">
        <f>SUM(O14:O42)</f>
        <v>96508579.830000013</v>
      </c>
      <c r="P43" s="69"/>
      <c r="Q43" s="69">
        <f>SUM(Q14:Q42)</f>
        <v>15658910.039999999</v>
      </c>
      <c r="R43" s="69">
        <f>SUM(R14:R42)</f>
        <v>13810003.59</v>
      </c>
      <c r="S43" s="69"/>
      <c r="T43" s="69">
        <f>SUM(T14:T42)</f>
        <v>22027088.98</v>
      </c>
      <c r="U43" s="69">
        <f>SUM(U14:U42)</f>
        <v>4022359.4299999997</v>
      </c>
      <c r="V43" s="69"/>
      <c r="W43" s="69">
        <f t="shared" ref="W43:AC43" si="28">SUM(W14:W42)</f>
        <v>147198815.25999999</v>
      </c>
      <c r="X43" s="69">
        <f t="shared" si="28"/>
        <v>28924850.129999999</v>
      </c>
      <c r="Y43" s="69">
        <f t="shared" si="28"/>
        <v>69748771.530000001</v>
      </c>
      <c r="Z43" s="69">
        <f t="shared" si="28"/>
        <v>32160942.41</v>
      </c>
      <c r="AA43" s="69">
        <f t="shared" si="28"/>
        <v>35248329.599999994</v>
      </c>
      <c r="AB43" s="69">
        <f t="shared" si="28"/>
        <v>6773948.9200000009</v>
      </c>
      <c r="AC43" s="69">
        <f t="shared" si="28"/>
        <v>493618873.36999995</v>
      </c>
      <c r="AD43" s="92"/>
      <c r="AE43" s="92"/>
      <c r="AF43" s="92">
        <f>SUM(AF14:AF42)</f>
        <v>493618873.36999995</v>
      </c>
      <c r="AG43" s="57">
        <v>2023</v>
      </c>
      <c r="AH43" s="57">
        <v>2023</v>
      </c>
    </row>
    <row r="44" spans="1:34" ht="109.9" customHeight="1" x14ac:dyDescent="0.35">
      <c r="A44" s="142" t="s">
        <v>83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4"/>
    </row>
    <row r="45" spans="1:34" s="77" customFormat="1" ht="109.9" customHeight="1" x14ac:dyDescent="0.35">
      <c r="A45" s="57">
        <v>30</v>
      </c>
      <c r="B45" s="68" t="s">
        <v>25</v>
      </c>
      <c r="C45" s="57" t="s">
        <v>195</v>
      </c>
      <c r="D45" s="57">
        <v>1952</v>
      </c>
      <c r="E45" s="57">
        <v>5</v>
      </c>
      <c r="F45" s="56">
        <v>3581.6</v>
      </c>
      <c r="G45" s="56">
        <f>3287.3+33.9</f>
        <v>3321.2000000000003</v>
      </c>
      <c r="H45" s="56">
        <v>3287.3</v>
      </c>
      <c r="I45" s="57">
        <v>155</v>
      </c>
      <c r="J45" s="57" t="s">
        <v>27</v>
      </c>
      <c r="K45" s="57" t="s">
        <v>28</v>
      </c>
      <c r="L45" s="19"/>
      <c r="M45" s="69">
        <f t="shared" ref="M45:M48" si="29">SUM(N45:U45)</f>
        <v>17471703.989999998</v>
      </c>
      <c r="N45" s="69">
        <f>ROUND(G45*616.25,2)</f>
        <v>2046689.5</v>
      </c>
      <c r="O45" s="69">
        <f>ROUND(G45*3349.66,2)</f>
        <v>11124890.789999999</v>
      </c>
      <c r="P45" s="69"/>
      <c r="Q45" s="69">
        <f>ROUND(G45*650.2,2)</f>
        <v>2159444.2400000002</v>
      </c>
      <c r="R45" s="19"/>
      <c r="S45" s="19"/>
      <c r="T45" s="69">
        <f>ROUND(G45*644.55,2)</f>
        <v>2140679.46</v>
      </c>
      <c r="U45" s="19"/>
      <c r="V45" s="19"/>
      <c r="W45" s="19"/>
      <c r="X45" s="19"/>
      <c r="Y45" s="19"/>
      <c r="Z45" s="19"/>
      <c r="AA45" s="69">
        <v>1164776.3999999999</v>
      </c>
      <c r="AB45" s="69">
        <f>ROUND((M45+V45+W45+X45+Y45+Z45)*0.015,2)</f>
        <v>262075.56</v>
      </c>
      <c r="AC45" s="69">
        <f>SUM(N45:AB45)</f>
        <v>18898555.949999996</v>
      </c>
      <c r="AD45" s="92"/>
      <c r="AE45" s="19"/>
      <c r="AF45" s="92">
        <f>AC45-(AD45+AE45)</f>
        <v>18898555.949999996</v>
      </c>
      <c r="AG45" s="57">
        <v>2024</v>
      </c>
      <c r="AH45" s="57">
        <v>2024</v>
      </c>
    </row>
    <row r="46" spans="1:34" ht="109.9" customHeight="1" x14ac:dyDescent="0.35">
      <c r="A46" s="57">
        <v>31</v>
      </c>
      <c r="B46" s="68" t="s">
        <v>25</v>
      </c>
      <c r="C46" s="57" t="s">
        <v>196</v>
      </c>
      <c r="D46" s="57">
        <v>1956</v>
      </c>
      <c r="E46" s="57">
        <v>5</v>
      </c>
      <c r="F46" s="56">
        <v>6203.7</v>
      </c>
      <c r="G46" s="56">
        <f>3984.7+1711.4</f>
        <v>5696.1</v>
      </c>
      <c r="H46" s="56">
        <v>3984.7</v>
      </c>
      <c r="I46" s="57">
        <v>160</v>
      </c>
      <c r="J46" s="57" t="s">
        <v>27</v>
      </c>
      <c r="K46" s="57" t="s">
        <v>28</v>
      </c>
      <c r="L46" s="19"/>
      <c r="M46" s="69">
        <f t="shared" ref="M46" si="30">SUM(N46:U46)</f>
        <v>32835965.899999999</v>
      </c>
      <c r="N46" s="69">
        <f>ROUND(G46*616.25,2)</f>
        <v>3510221.63</v>
      </c>
      <c r="O46" s="69">
        <f>ROUND(G46*3201.73,2)</f>
        <v>18237374.25</v>
      </c>
      <c r="P46" s="69"/>
      <c r="Q46" s="69">
        <f>ROUND(G46*620.83,2)</f>
        <v>3536309.76</v>
      </c>
      <c r="R46" s="69">
        <f>ROUND(G46*660.21,2)</f>
        <v>3760622.18</v>
      </c>
      <c r="S46" s="69"/>
      <c r="T46" s="69">
        <f>ROUND(G46*665.62,2)</f>
        <v>3791438.08</v>
      </c>
      <c r="U46" s="19"/>
      <c r="V46" s="19"/>
      <c r="W46" s="19"/>
      <c r="X46" s="69">
        <f>ROUND(G46*706.71,2)</f>
        <v>4025490.83</v>
      </c>
      <c r="Y46" s="69"/>
      <c r="Z46" s="69">
        <f>ROUND(G46*1135.41,2)</f>
        <v>6467408.9000000004</v>
      </c>
      <c r="AA46" s="69">
        <v>1824567.6</v>
      </c>
      <c r="AB46" s="69">
        <f>ROUND((M46+V46+W46+X46+Y46+Z46)*0.015,2)</f>
        <v>649932.98</v>
      </c>
      <c r="AC46" s="69">
        <f>SUM(N46:AB46)</f>
        <v>45803366.209999993</v>
      </c>
      <c r="AD46" s="92"/>
      <c r="AE46" s="19"/>
      <c r="AF46" s="92">
        <f>AC46-(AD46+AE46)</f>
        <v>45803366.209999993</v>
      </c>
      <c r="AG46" s="57">
        <v>2024</v>
      </c>
      <c r="AH46" s="57">
        <v>2024</v>
      </c>
    </row>
    <row r="47" spans="1:34" s="77" customFormat="1" ht="109.9" customHeight="1" x14ac:dyDescent="0.35">
      <c r="A47" s="57">
        <v>32</v>
      </c>
      <c r="B47" s="68" t="s">
        <v>25</v>
      </c>
      <c r="C47" s="57" t="s">
        <v>134</v>
      </c>
      <c r="D47" s="57">
        <v>1951</v>
      </c>
      <c r="E47" s="57">
        <v>5</v>
      </c>
      <c r="F47" s="56">
        <v>2788.3</v>
      </c>
      <c r="G47" s="56">
        <f>1803.8+755.2</f>
        <v>2559</v>
      </c>
      <c r="H47" s="56">
        <v>1107</v>
      </c>
      <c r="I47" s="57">
        <v>48</v>
      </c>
      <c r="J47" s="57" t="s">
        <v>37</v>
      </c>
      <c r="K47" s="57" t="s">
        <v>28</v>
      </c>
      <c r="L47" s="19"/>
      <c r="M47" s="69">
        <f t="shared" ref="M47" si="31">SUM(N47:U47)</f>
        <v>865223.49</v>
      </c>
      <c r="N47" s="19"/>
      <c r="O47" s="19"/>
      <c r="P47" s="19"/>
      <c r="Q47" s="19"/>
      <c r="R47" s="19"/>
      <c r="S47" s="19"/>
      <c r="T47" s="19"/>
      <c r="U47" s="69">
        <f>ROUND(G47*338.11,2)</f>
        <v>865223.49</v>
      </c>
      <c r="V47" s="19"/>
      <c r="W47" s="19"/>
      <c r="X47" s="69">
        <f>ROUND(G47*763.97,2)</f>
        <v>1954999.23</v>
      </c>
      <c r="Y47" s="69">
        <f>ROUND(G47*3435.59,2)</f>
        <v>8791674.8100000005</v>
      </c>
      <c r="Z47" s="69">
        <f>ROUND(G47*1135.41,2)</f>
        <v>2905514.19</v>
      </c>
      <c r="AA47" s="69">
        <v>1973956.8</v>
      </c>
      <c r="AB47" s="69">
        <f t="shared" ref="AB47:AB64" si="32">ROUND((M47+V47+W47+X47+Y47+Z47)*0.015,2)</f>
        <v>217761.18</v>
      </c>
      <c r="AC47" s="69">
        <f t="shared" ref="AC47:AC64" si="33">SUM(N47:AB47)</f>
        <v>16709129.700000001</v>
      </c>
      <c r="AD47" s="92"/>
      <c r="AE47" s="19"/>
      <c r="AF47" s="92">
        <f>AC47-(AD47+AE47)</f>
        <v>16709129.700000001</v>
      </c>
      <c r="AG47" s="57">
        <v>2024</v>
      </c>
      <c r="AH47" s="57">
        <v>2024</v>
      </c>
    </row>
    <row r="48" spans="1:34" s="77" customFormat="1" ht="109.9" customHeight="1" x14ac:dyDescent="0.35">
      <c r="A48" s="57">
        <v>33</v>
      </c>
      <c r="B48" s="68" t="s">
        <v>25</v>
      </c>
      <c r="C48" s="57" t="s">
        <v>135</v>
      </c>
      <c r="D48" s="57">
        <v>1952</v>
      </c>
      <c r="E48" s="57">
        <v>4</v>
      </c>
      <c r="F48" s="56">
        <v>3140.9</v>
      </c>
      <c r="G48" s="56">
        <f>1967.5+956.9</f>
        <v>2924.4</v>
      </c>
      <c r="H48" s="56">
        <v>1967.5</v>
      </c>
      <c r="I48" s="57">
        <v>64</v>
      </c>
      <c r="J48" s="57" t="s">
        <v>27</v>
      </c>
      <c r="K48" s="57" t="s">
        <v>28</v>
      </c>
      <c r="L48" s="19"/>
      <c r="M48" s="69">
        <f t="shared" si="29"/>
        <v>10962873.74</v>
      </c>
      <c r="N48" s="69">
        <f>ROUND(G48*616.25,2)</f>
        <v>1802161.5</v>
      </c>
      <c r="O48" s="69">
        <f>ROUND(G48*871.5,2)</f>
        <v>2548614.6</v>
      </c>
      <c r="P48" s="69"/>
      <c r="Q48" s="69">
        <f>ROUND(G48*596.38,2)</f>
        <v>1744053.67</v>
      </c>
      <c r="R48" s="69">
        <f>ROUND(G48*589.88,2)</f>
        <v>1725045.07</v>
      </c>
      <c r="S48" s="19"/>
      <c r="T48" s="69">
        <f>ROUND(G48*1074.75,2)</f>
        <v>3142998.9</v>
      </c>
      <c r="U48" s="19"/>
      <c r="V48" s="19"/>
      <c r="W48" s="19"/>
      <c r="X48" s="69">
        <f>ROUND(G48*1954.25,2)</f>
        <v>5715008.7000000002</v>
      </c>
      <c r="Y48" s="69"/>
      <c r="Z48" s="69">
        <f>ROUND(G48*1135.41,2)</f>
        <v>3320393</v>
      </c>
      <c r="AA48" s="69">
        <v>1694389.2</v>
      </c>
      <c r="AB48" s="69">
        <f t="shared" si="32"/>
        <v>299974.13</v>
      </c>
      <c r="AC48" s="69">
        <f t="shared" si="33"/>
        <v>21992638.77</v>
      </c>
      <c r="AD48" s="19"/>
      <c r="AE48" s="19"/>
      <c r="AF48" s="92">
        <f t="shared" ref="AF48:AF64" si="34">AC48-(AD48+AE48)</f>
        <v>21992638.77</v>
      </c>
      <c r="AG48" s="57">
        <v>2024</v>
      </c>
      <c r="AH48" s="57">
        <v>2024</v>
      </c>
    </row>
    <row r="49" spans="1:34" ht="109.9" customHeight="1" x14ac:dyDescent="0.35">
      <c r="A49" s="57">
        <v>34</v>
      </c>
      <c r="B49" s="68" t="s">
        <v>25</v>
      </c>
      <c r="C49" s="57" t="s">
        <v>136</v>
      </c>
      <c r="D49" s="57">
        <v>1954</v>
      </c>
      <c r="E49" s="57">
        <v>4</v>
      </c>
      <c r="F49" s="56">
        <v>2643</v>
      </c>
      <c r="G49" s="56">
        <f>1779.6+661.2</f>
        <v>2440.8000000000002</v>
      </c>
      <c r="H49" s="56">
        <v>1779.6</v>
      </c>
      <c r="I49" s="57">
        <v>55</v>
      </c>
      <c r="J49" s="57" t="s">
        <v>27</v>
      </c>
      <c r="K49" s="57" t="s">
        <v>28</v>
      </c>
      <c r="L49" s="19"/>
      <c r="M49" s="69">
        <f t="shared" ref="M49" si="35">SUM(N49:U49)</f>
        <v>9149973.3999999985</v>
      </c>
      <c r="N49" s="69">
        <f t="shared" ref="N49" si="36">ROUND(G49*616.25,2)</f>
        <v>1504143</v>
      </c>
      <c r="O49" s="69">
        <f>ROUND(G49*871.5,2)</f>
        <v>2127157.2000000002</v>
      </c>
      <c r="P49" s="69"/>
      <c r="Q49" s="69">
        <f t="shared" ref="Q49" si="37">ROUND(G49*596.38,2)</f>
        <v>1455644.3</v>
      </c>
      <c r="R49" s="69">
        <f t="shared" ref="R49" si="38">ROUND(G49*589.88,2)</f>
        <v>1439779.1</v>
      </c>
      <c r="S49" s="69"/>
      <c r="T49" s="69">
        <f t="shared" ref="T49" si="39">ROUND(G49*1074.75,2)</f>
        <v>2623249.7999999998</v>
      </c>
      <c r="U49" s="19"/>
      <c r="V49" s="19"/>
      <c r="W49" s="19"/>
      <c r="X49" s="69">
        <f t="shared" ref="X49" si="40">ROUND(G49*1954.25,2)</f>
        <v>4769933.4000000004</v>
      </c>
      <c r="Y49" s="69">
        <f t="shared" ref="Y49" si="41">ROUND(G49*3842.27,2)</f>
        <v>9378212.6199999992</v>
      </c>
      <c r="Z49" s="69">
        <f t="shared" ref="Z49" si="42">ROUND(G49*1135.41,2)</f>
        <v>2771308.73</v>
      </c>
      <c r="AA49" s="69">
        <v>1699182</v>
      </c>
      <c r="AB49" s="69">
        <f t="shared" si="32"/>
        <v>391041.42</v>
      </c>
      <c r="AC49" s="69">
        <f t="shared" si="33"/>
        <v>28159651.57</v>
      </c>
      <c r="AD49" s="19"/>
      <c r="AE49" s="19"/>
      <c r="AF49" s="92">
        <f t="shared" si="34"/>
        <v>28159651.57</v>
      </c>
      <c r="AG49" s="57">
        <v>2024</v>
      </c>
      <c r="AH49" s="57">
        <v>2024</v>
      </c>
    </row>
    <row r="50" spans="1:34" s="77" customFormat="1" ht="109.9" customHeight="1" x14ac:dyDescent="0.35">
      <c r="A50" s="57">
        <v>35</v>
      </c>
      <c r="B50" s="68" t="s">
        <v>25</v>
      </c>
      <c r="C50" s="57" t="s">
        <v>137</v>
      </c>
      <c r="D50" s="57">
        <v>1957</v>
      </c>
      <c r="E50" s="57">
        <v>4</v>
      </c>
      <c r="F50" s="56">
        <v>2645.9</v>
      </c>
      <c r="G50" s="56">
        <v>2608.3000000000002</v>
      </c>
      <c r="H50" s="56">
        <v>1121.0999999999999</v>
      </c>
      <c r="I50" s="57" t="s">
        <v>26</v>
      </c>
      <c r="J50" s="57" t="s">
        <v>27</v>
      </c>
      <c r="K50" s="57" t="s">
        <v>28</v>
      </c>
      <c r="L50" s="19"/>
      <c r="M50" s="69"/>
      <c r="N50" s="19"/>
      <c r="O50" s="19"/>
      <c r="P50" s="19"/>
      <c r="Q50" s="19"/>
      <c r="R50" s="19"/>
      <c r="S50" s="19"/>
      <c r="T50" s="19"/>
      <c r="U50" s="19"/>
      <c r="V50" s="19"/>
      <c r="W50" s="69"/>
      <c r="X50" s="19">
        <v>5097270.28</v>
      </c>
      <c r="Y50" s="19"/>
      <c r="Z50" s="19">
        <v>2961489.9</v>
      </c>
      <c r="AA50" s="69">
        <v>846241.8</v>
      </c>
      <c r="AB50" s="69">
        <f t="shared" si="32"/>
        <v>120881.4</v>
      </c>
      <c r="AC50" s="69">
        <f t="shared" si="33"/>
        <v>9025883.3800000008</v>
      </c>
      <c r="AD50" s="19"/>
      <c r="AE50" s="19"/>
      <c r="AF50" s="92">
        <f t="shared" si="34"/>
        <v>9025883.3800000008</v>
      </c>
      <c r="AG50" s="57">
        <v>2024</v>
      </c>
      <c r="AH50" s="57">
        <v>2024</v>
      </c>
    </row>
    <row r="51" spans="1:34" s="77" customFormat="1" ht="109.9" customHeight="1" x14ac:dyDescent="0.35">
      <c r="A51" s="57">
        <v>36</v>
      </c>
      <c r="B51" s="68" t="s">
        <v>25</v>
      </c>
      <c r="C51" s="57" t="s">
        <v>138</v>
      </c>
      <c r="D51" s="57">
        <v>1952</v>
      </c>
      <c r="E51" s="57">
        <v>5</v>
      </c>
      <c r="F51" s="56">
        <v>2167.6999999999998</v>
      </c>
      <c r="G51" s="56">
        <v>1927.2</v>
      </c>
      <c r="H51" s="56">
        <v>928.8</v>
      </c>
      <c r="I51" s="57">
        <v>35</v>
      </c>
      <c r="J51" s="57" t="s">
        <v>27</v>
      </c>
      <c r="K51" s="57" t="s">
        <v>28</v>
      </c>
      <c r="L51" s="19"/>
      <c r="M51" s="69">
        <f t="shared" ref="M51:M54" si="43">SUM(N51:U51)</f>
        <v>12630329.18</v>
      </c>
      <c r="N51" s="69">
        <f t="shared" ref="N51:N57" si="44">ROUND(G51*616.25,2)</f>
        <v>1187637</v>
      </c>
      <c r="O51" s="69">
        <f>ROUND(G51*3990.81,2)</f>
        <v>7691089.0300000003</v>
      </c>
      <c r="P51" s="69"/>
      <c r="Q51" s="69">
        <f>ROUND(G51*620.83,2)</f>
        <v>1196463.58</v>
      </c>
      <c r="R51" s="69">
        <f>ROUND(G51*660.21,2)</f>
        <v>1272356.71</v>
      </c>
      <c r="S51" s="19"/>
      <c r="T51" s="69">
        <f>ROUND(G51*665.62,2)</f>
        <v>1282782.8600000001</v>
      </c>
      <c r="U51" s="19"/>
      <c r="V51" s="19"/>
      <c r="W51" s="19"/>
      <c r="X51" s="19"/>
      <c r="Y51" s="19"/>
      <c r="Z51" s="19"/>
      <c r="AA51" s="69">
        <v>977536.8</v>
      </c>
      <c r="AB51" s="69">
        <f t="shared" si="32"/>
        <v>189454.94</v>
      </c>
      <c r="AC51" s="69">
        <f t="shared" si="33"/>
        <v>13797320.92</v>
      </c>
      <c r="AD51" s="19"/>
      <c r="AE51" s="19"/>
      <c r="AF51" s="92">
        <f t="shared" si="34"/>
        <v>13797320.92</v>
      </c>
      <c r="AG51" s="57">
        <v>2024</v>
      </c>
      <c r="AH51" s="57">
        <v>2024</v>
      </c>
    </row>
    <row r="52" spans="1:34" s="77" customFormat="1" ht="109.9" customHeight="1" x14ac:dyDescent="0.35">
      <c r="A52" s="57">
        <v>37</v>
      </c>
      <c r="B52" s="68" t="s">
        <v>25</v>
      </c>
      <c r="C52" s="57" t="s">
        <v>139</v>
      </c>
      <c r="D52" s="57">
        <v>1952</v>
      </c>
      <c r="E52" s="57">
        <v>4</v>
      </c>
      <c r="F52" s="56">
        <v>3075.7</v>
      </c>
      <c r="G52" s="56">
        <v>2804.5</v>
      </c>
      <c r="H52" s="56">
        <v>2251.9</v>
      </c>
      <c r="I52" s="57">
        <v>55</v>
      </c>
      <c r="J52" s="57" t="s">
        <v>27</v>
      </c>
      <c r="K52" s="57" t="s">
        <v>28</v>
      </c>
      <c r="L52" s="19"/>
      <c r="M52" s="69">
        <f t="shared" si="43"/>
        <v>11710846.210000001</v>
      </c>
      <c r="N52" s="69">
        <f t="shared" si="44"/>
        <v>1728273.13</v>
      </c>
      <c r="O52" s="69">
        <f>ROUND(G52*871.5,2)</f>
        <v>2444121.75</v>
      </c>
      <c r="P52" s="69"/>
      <c r="Q52" s="69">
        <f>ROUND(G52*596.38,2)</f>
        <v>1672547.71</v>
      </c>
      <c r="R52" s="69">
        <f>ROUND(G52*589.88,2)</f>
        <v>1654318.46</v>
      </c>
      <c r="S52" s="69">
        <f>ROUND(1*1197448.78,2)</f>
        <v>1197448.78</v>
      </c>
      <c r="T52" s="69">
        <f>ROUND(G52*1074.75,2)</f>
        <v>3014136.38</v>
      </c>
      <c r="U52" s="19"/>
      <c r="V52" s="19"/>
      <c r="W52" s="19"/>
      <c r="X52" s="19"/>
      <c r="Y52" s="19"/>
      <c r="Z52" s="69">
        <f>ROUND(G52*1135.41,2)</f>
        <v>3184257.35</v>
      </c>
      <c r="AA52" s="69">
        <f>1300579.2+124000</f>
        <v>1424579.2</v>
      </c>
      <c r="AB52" s="69">
        <f t="shared" si="32"/>
        <v>223426.55</v>
      </c>
      <c r="AC52" s="69">
        <f t="shared" si="33"/>
        <v>16543109.310000001</v>
      </c>
      <c r="AD52" s="19"/>
      <c r="AE52" s="19"/>
      <c r="AF52" s="92">
        <f t="shared" si="34"/>
        <v>16543109.310000001</v>
      </c>
      <c r="AG52" s="57">
        <v>2024</v>
      </c>
      <c r="AH52" s="57">
        <v>2024</v>
      </c>
    </row>
    <row r="53" spans="1:34" s="77" customFormat="1" ht="109.9" customHeight="1" x14ac:dyDescent="0.35">
      <c r="A53" s="57">
        <v>38</v>
      </c>
      <c r="B53" s="68" t="s">
        <v>25</v>
      </c>
      <c r="C53" s="57" t="s">
        <v>140</v>
      </c>
      <c r="D53" s="57">
        <v>1952</v>
      </c>
      <c r="E53" s="57">
        <v>4</v>
      </c>
      <c r="F53" s="56">
        <v>4112.6000000000004</v>
      </c>
      <c r="G53" s="56">
        <v>3649.8</v>
      </c>
      <c r="H53" s="56">
        <v>1571.9</v>
      </c>
      <c r="I53" s="57">
        <v>65</v>
      </c>
      <c r="J53" s="57" t="s">
        <v>27</v>
      </c>
      <c r="K53" s="57" t="s">
        <v>28</v>
      </c>
      <c r="L53" s="19"/>
      <c r="M53" s="69">
        <f t="shared" si="43"/>
        <v>13682224.239999998</v>
      </c>
      <c r="N53" s="69">
        <f t="shared" si="44"/>
        <v>2249189.25</v>
      </c>
      <c r="O53" s="69">
        <f>ROUND(G53*871.5,2)</f>
        <v>3180800.7</v>
      </c>
      <c r="P53" s="69"/>
      <c r="Q53" s="69">
        <f>ROUND(G53*596.38,2)</f>
        <v>2176667.7200000002</v>
      </c>
      <c r="R53" s="69">
        <f>ROUND(G53*589.88,2)</f>
        <v>2152944.02</v>
      </c>
      <c r="S53" s="19"/>
      <c r="T53" s="69">
        <f>ROUND(G53*1074.75,2)</f>
        <v>3922622.55</v>
      </c>
      <c r="U53" s="19"/>
      <c r="V53" s="19"/>
      <c r="W53" s="19"/>
      <c r="X53" s="19"/>
      <c r="Y53" s="19"/>
      <c r="Z53" s="19"/>
      <c r="AA53" s="69">
        <v>1124644.8</v>
      </c>
      <c r="AB53" s="69">
        <f t="shared" si="32"/>
        <v>205233.36</v>
      </c>
      <c r="AC53" s="69">
        <f t="shared" si="33"/>
        <v>15012102.399999999</v>
      </c>
      <c r="AD53" s="19"/>
      <c r="AE53" s="19"/>
      <c r="AF53" s="92">
        <f t="shared" si="34"/>
        <v>15012102.399999999</v>
      </c>
      <c r="AG53" s="57">
        <v>2024</v>
      </c>
      <c r="AH53" s="57">
        <v>2024</v>
      </c>
    </row>
    <row r="54" spans="1:34" s="77" customFormat="1" ht="109.9" customHeight="1" x14ac:dyDescent="0.35">
      <c r="A54" s="57">
        <v>39</v>
      </c>
      <c r="B54" s="68" t="s">
        <v>25</v>
      </c>
      <c r="C54" s="57" t="s">
        <v>141</v>
      </c>
      <c r="D54" s="57">
        <v>1952</v>
      </c>
      <c r="E54" s="57">
        <v>5</v>
      </c>
      <c r="F54" s="56">
        <v>3109.8</v>
      </c>
      <c r="G54" s="56">
        <f>1832.7+934.8</f>
        <v>2767.5</v>
      </c>
      <c r="H54" s="56">
        <v>1832.7</v>
      </c>
      <c r="I54" s="57">
        <v>8</v>
      </c>
      <c r="J54" s="57" t="s">
        <v>27</v>
      </c>
      <c r="K54" s="57" t="s">
        <v>28</v>
      </c>
      <c r="L54" s="19"/>
      <c r="M54" s="69">
        <f t="shared" si="43"/>
        <v>19334868.899999999</v>
      </c>
      <c r="N54" s="69">
        <f t="shared" si="44"/>
        <v>1705471.88</v>
      </c>
      <c r="O54" s="69">
        <f>ROUND(G54*3990.81,2)</f>
        <v>11044566.68</v>
      </c>
      <c r="P54" s="69"/>
      <c r="Q54" s="69">
        <f>ROUND(G54*620.83,2)</f>
        <v>1718147.03</v>
      </c>
      <c r="R54" s="69">
        <f>ROUND(G54*660.21,2)</f>
        <v>1827131.18</v>
      </c>
      <c r="S54" s="69">
        <f>ROUND(1*1197448.78,2)</f>
        <v>1197448.78</v>
      </c>
      <c r="T54" s="69">
        <f>ROUND(G54*665.62,2)</f>
        <v>1842103.35</v>
      </c>
      <c r="U54" s="19"/>
      <c r="V54" s="19"/>
      <c r="W54" s="19"/>
      <c r="X54" s="19">
        <v>1955819.93</v>
      </c>
      <c r="Y54" s="19"/>
      <c r="Z54" s="19">
        <v>3142247.18</v>
      </c>
      <c r="AA54" s="69">
        <f>1172490.4+1073566</f>
        <v>2246056.4</v>
      </c>
      <c r="AB54" s="69">
        <f t="shared" si="32"/>
        <v>366494.04</v>
      </c>
      <c r="AC54" s="69">
        <f t="shared" si="33"/>
        <v>27045486.449999996</v>
      </c>
      <c r="AD54" s="19"/>
      <c r="AE54" s="19"/>
      <c r="AF54" s="92">
        <f t="shared" si="34"/>
        <v>27045486.449999996</v>
      </c>
      <c r="AG54" s="57">
        <v>2024</v>
      </c>
      <c r="AH54" s="57">
        <v>2024</v>
      </c>
    </row>
    <row r="55" spans="1:34" ht="109.9" customHeight="1" x14ac:dyDescent="0.35">
      <c r="A55" s="57">
        <v>40</v>
      </c>
      <c r="B55" s="68" t="s">
        <v>25</v>
      </c>
      <c r="C55" s="57" t="s">
        <v>142</v>
      </c>
      <c r="D55" s="57">
        <v>1953</v>
      </c>
      <c r="E55" s="57">
        <v>6</v>
      </c>
      <c r="F55" s="56">
        <v>11255.1</v>
      </c>
      <c r="G55" s="56">
        <v>10310.4</v>
      </c>
      <c r="H55" s="56" t="s">
        <v>40</v>
      </c>
      <c r="I55" s="57" t="s">
        <v>41</v>
      </c>
      <c r="J55" s="57" t="s">
        <v>27</v>
      </c>
      <c r="K55" s="57" t="s">
        <v>28</v>
      </c>
      <c r="L55" s="19"/>
      <c r="M55" s="69">
        <f>SUM(N55:U55)</f>
        <v>59435744.25</v>
      </c>
      <c r="N55" s="69">
        <f>ROUND(G55*616.25,2)</f>
        <v>6353784</v>
      </c>
      <c r="O55" s="69">
        <f>ROUND(G55*3201.73,2)</f>
        <v>33011116.989999998</v>
      </c>
      <c r="P55" s="69"/>
      <c r="Q55" s="69">
        <f>ROUND(G55*620.83,2)</f>
        <v>6401005.6299999999</v>
      </c>
      <c r="R55" s="69">
        <f>ROUND(G55*660.21,2)</f>
        <v>6807029.1799999997</v>
      </c>
      <c r="S55" s="69"/>
      <c r="T55" s="69">
        <f>ROUND(G55*665.62,2)</f>
        <v>6862808.4500000002</v>
      </c>
      <c r="U55" s="19"/>
      <c r="V55" s="19"/>
      <c r="W55" s="19"/>
      <c r="X55" s="19"/>
      <c r="Y55" s="19"/>
      <c r="Z55" s="19"/>
      <c r="AA55" s="69">
        <v>2714532</v>
      </c>
      <c r="AB55" s="69">
        <f>ROUND((M55+V55+W55+X55+Y55+Z55)*0.015,2)</f>
        <v>891536.16</v>
      </c>
      <c r="AC55" s="69">
        <f>SUM(N55:AB55)</f>
        <v>63041812.409999996</v>
      </c>
      <c r="AD55" s="19"/>
      <c r="AE55" s="19"/>
      <c r="AF55" s="92">
        <f>AC55-(AD55+AE55)</f>
        <v>63041812.409999996</v>
      </c>
      <c r="AG55" s="57">
        <v>2024</v>
      </c>
      <c r="AH55" s="57">
        <v>2024</v>
      </c>
    </row>
    <row r="56" spans="1:34" ht="109.9" customHeight="1" x14ac:dyDescent="0.35">
      <c r="A56" s="57">
        <v>41</v>
      </c>
      <c r="B56" s="68" t="s">
        <v>25</v>
      </c>
      <c r="C56" s="57" t="s">
        <v>143</v>
      </c>
      <c r="D56" s="57">
        <v>1955</v>
      </c>
      <c r="E56" s="57">
        <v>4</v>
      </c>
      <c r="F56" s="56">
        <v>2232.4</v>
      </c>
      <c r="G56" s="56">
        <v>2000.3</v>
      </c>
      <c r="H56" s="56">
        <v>929.7</v>
      </c>
      <c r="I56" s="57">
        <v>45</v>
      </c>
      <c r="J56" s="57" t="s">
        <v>27</v>
      </c>
      <c r="K56" s="57" t="s">
        <v>28</v>
      </c>
      <c r="L56" s="19"/>
      <c r="M56" s="69">
        <f t="shared" ref="M56:M59" si="45">SUM(N56:U56)</f>
        <v>5348822.2</v>
      </c>
      <c r="N56" s="69">
        <f t="shared" si="44"/>
        <v>1232684.8799999999</v>
      </c>
      <c r="O56" s="69">
        <f>ROUND(G56*871.5,2)</f>
        <v>1743261.45</v>
      </c>
      <c r="P56" s="69"/>
      <c r="Q56" s="69">
        <f t="shared" ref="Q56:Q57" si="46">ROUND(G56*596.38,2)</f>
        <v>1192938.9099999999</v>
      </c>
      <c r="R56" s="69">
        <f t="shared" ref="R56:R57" si="47">ROUND(G56*589.88,2)</f>
        <v>1179936.96</v>
      </c>
      <c r="S56" s="69"/>
      <c r="T56" s="69"/>
      <c r="U56" s="19"/>
      <c r="V56" s="19"/>
      <c r="W56" s="19"/>
      <c r="X56" s="19"/>
      <c r="Y56" s="19"/>
      <c r="Z56" s="19"/>
      <c r="AA56" s="69">
        <v>673593.6</v>
      </c>
      <c r="AB56" s="69">
        <f t="shared" si="32"/>
        <v>80232.33</v>
      </c>
      <c r="AC56" s="69">
        <f t="shared" si="33"/>
        <v>6102648.1299999999</v>
      </c>
      <c r="AD56" s="19"/>
      <c r="AE56" s="19"/>
      <c r="AF56" s="92">
        <f t="shared" si="34"/>
        <v>6102648.1299999999</v>
      </c>
      <c r="AG56" s="57">
        <v>2024</v>
      </c>
      <c r="AH56" s="57">
        <v>2024</v>
      </c>
    </row>
    <row r="57" spans="1:34" s="77" customFormat="1" ht="109.9" customHeight="1" x14ac:dyDescent="0.35">
      <c r="A57" s="57">
        <v>42</v>
      </c>
      <c r="B57" s="68" t="s">
        <v>25</v>
      </c>
      <c r="C57" s="57" t="s">
        <v>144</v>
      </c>
      <c r="D57" s="57">
        <v>1953</v>
      </c>
      <c r="E57" s="57">
        <v>4</v>
      </c>
      <c r="F57" s="56">
        <v>2167.9</v>
      </c>
      <c r="G57" s="56">
        <v>1958.8</v>
      </c>
      <c r="H57" s="56">
        <v>1646.16</v>
      </c>
      <c r="I57" s="57" t="s">
        <v>38</v>
      </c>
      <c r="J57" s="57" t="s">
        <v>37</v>
      </c>
      <c r="K57" s="57" t="s">
        <v>28</v>
      </c>
      <c r="L57" s="19"/>
      <c r="M57" s="69">
        <f t="shared" si="45"/>
        <v>15151631.399999999</v>
      </c>
      <c r="N57" s="69">
        <f t="shared" si="44"/>
        <v>1207110.5</v>
      </c>
      <c r="O57" s="69">
        <f>ROUND(G57*4857.9,2)</f>
        <v>9515654.5199999996</v>
      </c>
      <c r="P57" s="69"/>
      <c r="Q57" s="69">
        <f t="shared" si="46"/>
        <v>1168189.1399999999</v>
      </c>
      <c r="R57" s="69">
        <f t="shared" si="47"/>
        <v>1155456.94</v>
      </c>
      <c r="S57" s="19"/>
      <c r="T57" s="69">
        <f>ROUND(G57*1074.75,2)</f>
        <v>2105220.2999999998</v>
      </c>
      <c r="U57" s="19"/>
      <c r="V57" s="19"/>
      <c r="W57" s="19"/>
      <c r="X57" s="19"/>
      <c r="Y57" s="19"/>
      <c r="Z57" s="19"/>
      <c r="AA57" s="69">
        <v>958839.6</v>
      </c>
      <c r="AB57" s="69">
        <f t="shared" si="32"/>
        <v>227274.47</v>
      </c>
      <c r="AC57" s="69">
        <f t="shared" si="33"/>
        <v>16337745.469999999</v>
      </c>
      <c r="AD57" s="19"/>
      <c r="AE57" s="19"/>
      <c r="AF57" s="92">
        <f t="shared" si="34"/>
        <v>16337745.469999999</v>
      </c>
      <c r="AG57" s="57">
        <v>2024</v>
      </c>
      <c r="AH57" s="57">
        <v>2024</v>
      </c>
    </row>
    <row r="58" spans="1:34" s="77" customFormat="1" ht="109.9" customHeight="1" x14ac:dyDescent="0.35">
      <c r="A58" s="57">
        <v>43</v>
      </c>
      <c r="B58" s="68" t="s">
        <v>25</v>
      </c>
      <c r="C58" s="57" t="s">
        <v>145</v>
      </c>
      <c r="D58" s="57">
        <v>1958</v>
      </c>
      <c r="E58" s="57">
        <v>5</v>
      </c>
      <c r="F58" s="56">
        <v>3561</v>
      </c>
      <c r="G58" s="56">
        <v>3477.3</v>
      </c>
      <c r="H58" s="56">
        <v>2607.5</v>
      </c>
      <c r="I58" s="57">
        <v>71</v>
      </c>
      <c r="J58" s="57" t="s">
        <v>39</v>
      </c>
      <c r="K58" s="57" t="s">
        <v>181</v>
      </c>
      <c r="L58" s="19"/>
      <c r="M58" s="69"/>
      <c r="N58" s="19"/>
      <c r="O58" s="19"/>
      <c r="P58" s="19"/>
      <c r="Q58" s="19"/>
      <c r="R58" s="19"/>
      <c r="S58" s="19"/>
      <c r="T58" s="19"/>
      <c r="U58" s="19"/>
      <c r="V58" s="19"/>
      <c r="W58" s="69">
        <f>ROUND(G58*3855.19,2)</f>
        <v>13405652.189999999</v>
      </c>
      <c r="X58" s="19">
        <f>ROUND(G58*706.71,2)</f>
        <v>2457442.6800000002</v>
      </c>
      <c r="Y58" s="19"/>
      <c r="Z58" s="19"/>
      <c r="AA58" s="69">
        <v>1343538</v>
      </c>
      <c r="AB58" s="69">
        <f t="shared" si="32"/>
        <v>237946.42</v>
      </c>
      <c r="AC58" s="69">
        <f t="shared" si="33"/>
        <v>17444579.289999999</v>
      </c>
      <c r="AD58" s="19"/>
      <c r="AE58" s="19"/>
      <c r="AF58" s="92">
        <f t="shared" si="34"/>
        <v>17444579.289999999</v>
      </c>
      <c r="AG58" s="57">
        <v>2024</v>
      </c>
      <c r="AH58" s="57">
        <v>2024</v>
      </c>
    </row>
    <row r="59" spans="1:34" ht="109.9" customHeight="1" x14ac:dyDescent="0.35">
      <c r="A59" s="57">
        <v>44</v>
      </c>
      <c r="B59" s="68" t="s">
        <v>25</v>
      </c>
      <c r="C59" s="57" t="s">
        <v>146</v>
      </c>
      <c r="D59" s="57">
        <v>1952</v>
      </c>
      <c r="E59" s="57">
        <v>4</v>
      </c>
      <c r="F59" s="56">
        <v>4122.6000000000004</v>
      </c>
      <c r="G59" s="56">
        <v>3797.8</v>
      </c>
      <c r="H59" s="56">
        <v>3797.8</v>
      </c>
      <c r="I59" s="57" t="s">
        <v>26</v>
      </c>
      <c r="J59" s="57" t="s">
        <v>27</v>
      </c>
      <c r="K59" s="57" t="s">
        <v>28</v>
      </c>
      <c r="L59" s="19"/>
      <c r="M59" s="69">
        <f t="shared" si="45"/>
        <v>29376590.640000004</v>
      </c>
      <c r="N59" s="69">
        <f t="shared" ref="N59:N64" si="48">ROUND(G59*616.25,2)</f>
        <v>2340394.25</v>
      </c>
      <c r="O59" s="69">
        <f>ROUND(G59*4857.9,2)</f>
        <v>18449332.620000001</v>
      </c>
      <c r="P59" s="69"/>
      <c r="Q59" s="69">
        <f>ROUND(G59*596.38,2)</f>
        <v>2264931.96</v>
      </c>
      <c r="R59" s="69">
        <f>ROUND(G59*589.88,2)</f>
        <v>2240246.2599999998</v>
      </c>
      <c r="S59" s="69"/>
      <c r="T59" s="69">
        <f>ROUND(G59*1074.75,2)</f>
        <v>4081685.55</v>
      </c>
      <c r="U59" s="19"/>
      <c r="V59" s="19"/>
      <c r="W59" s="19"/>
      <c r="X59" s="69">
        <f>ROUND(G59*1954.25,2)</f>
        <v>7421850.6500000004</v>
      </c>
      <c r="Y59" s="69"/>
      <c r="Z59" s="69">
        <f>ROUND(G59*1135.41,2)</f>
        <v>4312060.0999999996</v>
      </c>
      <c r="AA59" s="69">
        <v>1161331.2</v>
      </c>
      <c r="AB59" s="69">
        <f t="shared" si="32"/>
        <v>616657.52</v>
      </c>
      <c r="AC59" s="69">
        <f t="shared" si="33"/>
        <v>42888490.110000014</v>
      </c>
      <c r="AD59" s="19"/>
      <c r="AE59" s="19"/>
      <c r="AF59" s="92">
        <f t="shared" si="34"/>
        <v>42888490.110000014</v>
      </c>
      <c r="AG59" s="57">
        <v>2024</v>
      </c>
      <c r="AH59" s="57">
        <v>2024</v>
      </c>
    </row>
    <row r="60" spans="1:34" ht="109.9" customHeight="1" x14ac:dyDescent="0.35">
      <c r="A60" s="57">
        <v>45</v>
      </c>
      <c r="B60" s="68" t="s">
        <v>25</v>
      </c>
      <c r="C60" s="57" t="s">
        <v>147</v>
      </c>
      <c r="D60" s="57">
        <v>1956</v>
      </c>
      <c r="E60" s="57">
        <v>5</v>
      </c>
      <c r="F60" s="56">
        <v>2510.9</v>
      </c>
      <c r="G60" s="56">
        <v>2323.1</v>
      </c>
      <c r="H60" s="56">
        <v>1499.4</v>
      </c>
      <c r="I60" s="57" t="s">
        <v>26</v>
      </c>
      <c r="J60" s="57" t="s">
        <v>27</v>
      </c>
      <c r="K60" s="57" t="s">
        <v>28</v>
      </c>
      <c r="L60" s="19"/>
      <c r="M60" s="69">
        <f t="shared" ref="M60:M64" si="49">SUM(N60:U60)</f>
        <v>13391835.18</v>
      </c>
      <c r="N60" s="69">
        <f t="shared" si="48"/>
        <v>1431610.38</v>
      </c>
      <c r="O60" s="69">
        <f>ROUND(G60*3201.73,2)</f>
        <v>7437938.96</v>
      </c>
      <c r="P60" s="69"/>
      <c r="Q60" s="69">
        <f>ROUND(G60*620.83,2)</f>
        <v>1442250.17</v>
      </c>
      <c r="R60" s="69">
        <f>ROUND(G60*660.21,2)</f>
        <v>1533733.85</v>
      </c>
      <c r="S60" s="19"/>
      <c r="T60" s="69">
        <f>ROUND(G60*665.62,2)</f>
        <v>1546301.82</v>
      </c>
      <c r="U60" s="19"/>
      <c r="V60" s="19"/>
      <c r="W60" s="19"/>
      <c r="X60" s="69">
        <f>ROUND(G60*706.71,2)</f>
        <v>1641758</v>
      </c>
      <c r="Y60" s="69">
        <v>7981219.1299999999</v>
      </c>
      <c r="Z60" s="69">
        <f>ROUND(G60*1135.41,2)</f>
        <v>2637670.9700000002</v>
      </c>
      <c r="AA60" s="69">
        <f>781665.6+630622.8+1275220.8</f>
        <v>2687509.2</v>
      </c>
      <c r="AB60" s="69">
        <f t="shared" si="32"/>
        <v>384787.25</v>
      </c>
      <c r="AC60" s="69">
        <f t="shared" si="33"/>
        <v>28724779.729999997</v>
      </c>
      <c r="AD60" s="19"/>
      <c r="AE60" s="19"/>
      <c r="AF60" s="92">
        <f t="shared" si="34"/>
        <v>28724779.729999997</v>
      </c>
      <c r="AG60" s="57">
        <v>2024</v>
      </c>
      <c r="AH60" s="57">
        <v>2024</v>
      </c>
    </row>
    <row r="61" spans="1:34" ht="109.9" customHeight="1" x14ac:dyDescent="0.35">
      <c r="A61" s="57">
        <v>46</v>
      </c>
      <c r="B61" s="68" t="s">
        <v>25</v>
      </c>
      <c r="C61" s="57" t="s">
        <v>148</v>
      </c>
      <c r="D61" s="57">
        <v>1953</v>
      </c>
      <c r="E61" s="57">
        <v>3</v>
      </c>
      <c r="F61" s="56">
        <v>1621.2</v>
      </c>
      <c r="G61" s="56">
        <v>1478.8</v>
      </c>
      <c r="H61" s="56">
        <v>1040</v>
      </c>
      <c r="I61" s="57" t="s">
        <v>26</v>
      </c>
      <c r="J61" s="57" t="s">
        <v>27</v>
      </c>
      <c r="K61" s="57" t="s">
        <v>28</v>
      </c>
      <c r="L61" s="19"/>
      <c r="M61" s="69">
        <f t="shared" si="49"/>
        <v>11438754.600000001</v>
      </c>
      <c r="N61" s="69">
        <f t="shared" si="48"/>
        <v>911310.5</v>
      </c>
      <c r="O61" s="69">
        <f>ROUND(G61*4857.9,2)</f>
        <v>7183862.5199999996</v>
      </c>
      <c r="P61" s="69"/>
      <c r="Q61" s="69">
        <f>ROUND(G61*596.38,2)</f>
        <v>881926.74</v>
      </c>
      <c r="R61" s="69">
        <f>ROUND(G61*589.88,2)</f>
        <v>872314.54</v>
      </c>
      <c r="S61" s="69"/>
      <c r="T61" s="69">
        <f>ROUND(G61*1074.75,2)</f>
        <v>1589340.3</v>
      </c>
      <c r="U61" s="19"/>
      <c r="V61" s="19"/>
      <c r="W61" s="19"/>
      <c r="X61" s="19"/>
      <c r="Y61" s="69">
        <v>4856541.87</v>
      </c>
      <c r="Z61" s="69">
        <f>ROUND(G61*1135.41,2)</f>
        <v>1679044.31</v>
      </c>
      <c r="AA61" s="69">
        <f>950602.8+577323.6</f>
        <v>1527926.4</v>
      </c>
      <c r="AB61" s="69">
        <f t="shared" si="32"/>
        <v>269615.11</v>
      </c>
      <c r="AC61" s="69">
        <f t="shared" si="33"/>
        <v>19771882.289999999</v>
      </c>
      <c r="AD61" s="19"/>
      <c r="AE61" s="19"/>
      <c r="AF61" s="92">
        <f t="shared" si="34"/>
        <v>19771882.289999999</v>
      </c>
      <c r="AG61" s="57">
        <v>2024</v>
      </c>
      <c r="AH61" s="57">
        <v>2024</v>
      </c>
    </row>
    <row r="62" spans="1:34" ht="109.9" customHeight="1" x14ac:dyDescent="0.35">
      <c r="A62" s="57">
        <v>47</v>
      </c>
      <c r="B62" s="68" t="s">
        <v>25</v>
      </c>
      <c r="C62" s="57" t="s">
        <v>149</v>
      </c>
      <c r="D62" s="57">
        <v>1955</v>
      </c>
      <c r="E62" s="57">
        <v>5</v>
      </c>
      <c r="F62" s="56">
        <v>7641.8</v>
      </c>
      <c r="G62" s="56">
        <v>7032.8</v>
      </c>
      <c r="H62" s="56">
        <v>4950.5</v>
      </c>
      <c r="I62" s="57">
        <v>73</v>
      </c>
      <c r="J62" s="57" t="s">
        <v>27</v>
      </c>
      <c r="K62" s="57" t="s">
        <v>28</v>
      </c>
      <c r="L62" s="19"/>
      <c r="M62" s="69">
        <f t="shared" ref="M62" si="50">SUM(N62:U62)</f>
        <v>40541560.189999998</v>
      </c>
      <c r="N62" s="69">
        <f>ROUND(G62*616.25,2)</f>
        <v>4333963</v>
      </c>
      <c r="O62" s="69">
        <f>ROUND(G62*3201.73,2)</f>
        <v>22517126.739999998</v>
      </c>
      <c r="P62" s="69"/>
      <c r="Q62" s="69">
        <f>ROUND(G62*620.83,2)</f>
        <v>4366173.22</v>
      </c>
      <c r="R62" s="69">
        <f>ROUND(G62*660.21,2)</f>
        <v>4643124.8899999997</v>
      </c>
      <c r="S62" s="69"/>
      <c r="T62" s="69">
        <f>ROUND(G62*665.62,2)</f>
        <v>4681172.34</v>
      </c>
      <c r="U62" s="19"/>
      <c r="V62" s="19"/>
      <c r="W62" s="19"/>
      <c r="X62" s="19"/>
      <c r="Y62" s="19"/>
      <c r="Z62" s="19"/>
      <c r="AA62" s="69">
        <v>1826556</v>
      </c>
      <c r="AB62" s="69">
        <f>ROUND((M62+V62+W62+X62+Y62+Z62)*0.015,2)</f>
        <v>608123.4</v>
      </c>
      <c r="AC62" s="69">
        <f>SUM(N62:AB62)</f>
        <v>42976239.589999996</v>
      </c>
      <c r="AD62" s="19"/>
      <c r="AE62" s="19"/>
      <c r="AF62" s="92">
        <f>AC62-(AD62+AE62)</f>
        <v>42976239.589999996</v>
      </c>
      <c r="AG62" s="57">
        <v>2024</v>
      </c>
      <c r="AH62" s="57">
        <v>2024</v>
      </c>
    </row>
    <row r="63" spans="1:34" ht="109.9" customHeight="1" x14ac:dyDescent="0.35">
      <c r="A63" s="57">
        <v>48</v>
      </c>
      <c r="B63" s="68" t="s">
        <v>25</v>
      </c>
      <c r="C63" s="57" t="s">
        <v>197</v>
      </c>
      <c r="D63" s="57">
        <v>1955</v>
      </c>
      <c r="E63" s="57">
        <v>4</v>
      </c>
      <c r="F63" s="56">
        <v>2690.2</v>
      </c>
      <c r="G63" s="56">
        <v>2495.5</v>
      </c>
      <c r="H63" s="56">
        <v>1850.2</v>
      </c>
      <c r="I63" s="57">
        <v>51</v>
      </c>
      <c r="J63" s="57" t="s">
        <v>27</v>
      </c>
      <c r="K63" s="57" t="s">
        <v>28</v>
      </c>
      <c r="L63" s="19"/>
      <c r="M63" s="69">
        <f t="shared" ref="M63" si="51">SUM(N63:U63)</f>
        <v>9355030.5899999999</v>
      </c>
      <c r="N63" s="69">
        <f t="shared" ref="N63" si="52">ROUND(G63*616.25,2)</f>
        <v>1537851.88</v>
      </c>
      <c r="O63" s="69">
        <f>ROUND(G63*871.5,2)</f>
        <v>2174828.25</v>
      </c>
      <c r="P63" s="69"/>
      <c r="Q63" s="69">
        <f t="shared" ref="Q63" si="53">ROUND(G63*596.38,2)</f>
        <v>1488266.29</v>
      </c>
      <c r="R63" s="69">
        <f t="shared" ref="R63" si="54">ROUND(G63*589.88,2)</f>
        <v>1472045.54</v>
      </c>
      <c r="S63" s="69"/>
      <c r="T63" s="69">
        <f t="shared" ref="T63" si="55">ROUND(G63*1074.75,2)</f>
        <v>2682038.63</v>
      </c>
      <c r="U63" s="19"/>
      <c r="V63" s="19"/>
      <c r="W63" s="19"/>
      <c r="X63" s="19"/>
      <c r="Y63" s="19"/>
      <c r="Z63" s="19"/>
      <c r="AA63" s="69">
        <v>1277401.2</v>
      </c>
      <c r="AB63" s="69">
        <f t="shared" ref="AB63" si="56">ROUND((M63+V63+W63+X63+Y63+Z63)*0.015,2)</f>
        <v>140325.46</v>
      </c>
      <c r="AC63" s="69">
        <f t="shared" ref="AC63" si="57">SUM(N63:AB63)</f>
        <v>10772757.25</v>
      </c>
      <c r="AD63" s="19"/>
      <c r="AE63" s="19"/>
      <c r="AF63" s="92">
        <f t="shared" ref="AF63" si="58">AC63-(AD63+AE63)</f>
        <v>10772757.25</v>
      </c>
      <c r="AG63" s="57">
        <v>2024</v>
      </c>
      <c r="AH63" s="57">
        <v>2024</v>
      </c>
    </row>
    <row r="64" spans="1:34" ht="109.9" customHeight="1" x14ac:dyDescent="0.35">
      <c r="A64" s="57">
        <v>49</v>
      </c>
      <c r="B64" s="68" t="s">
        <v>25</v>
      </c>
      <c r="C64" s="57" t="s">
        <v>150</v>
      </c>
      <c r="D64" s="57">
        <v>1953</v>
      </c>
      <c r="E64" s="57">
        <v>4</v>
      </c>
      <c r="F64" s="56">
        <v>1972.2</v>
      </c>
      <c r="G64" s="56">
        <v>1838.9</v>
      </c>
      <c r="H64" s="56">
        <v>1168.5999999999999</v>
      </c>
      <c r="I64" s="57">
        <v>28</v>
      </c>
      <c r="J64" s="57" t="s">
        <v>27</v>
      </c>
      <c r="K64" s="57" t="s">
        <v>28</v>
      </c>
      <c r="L64" s="19"/>
      <c r="M64" s="69">
        <f t="shared" si="49"/>
        <v>14224185.73</v>
      </c>
      <c r="N64" s="69">
        <f t="shared" si="48"/>
        <v>1133222.1299999999</v>
      </c>
      <c r="O64" s="69">
        <f>ROUND(G64*4857.9,2)</f>
        <v>8933192.3100000005</v>
      </c>
      <c r="P64" s="69"/>
      <c r="Q64" s="69">
        <f>ROUND(G64*596.38,2)</f>
        <v>1096683.18</v>
      </c>
      <c r="R64" s="69">
        <f>ROUND(G64*589.88,2)</f>
        <v>1084730.33</v>
      </c>
      <c r="S64" s="69"/>
      <c r="T64" s="69">
        <f>ROUND(G64*1074.75,2)</f>
        <v>1976357.78</v>
      </c>
      <c r="U64" s="19"/>
      <c r="V64" s="19"/>
      <c r="W64" s="19"/>
      <c r="X64" s="19"/>
      <c r="Y64" s="19"/>
      <c r="Z64" s="19"/>
      <c r="AA64" s="69">
        <v>933278.4</v>
      </c>
      <c r="AB64" s="69">
        <f t="shared" si="32"/>
        <v>213362.79</v>
      </c>
      <c r="AC64" s="69">
        <f t="shared" si="33"/>
        <v>15370826.92</v>
      </c>
      <c r="AD64" s="19"/>
      <c r="AE64" s="19"/>
      <c r="AF64" s="92">
        <f t="shared" si="34"/>
        <v>15370826.92</v>
      </c>
      <c r="AG64" s="57">
        <v>2024</v>
      </c>
      <c r="AH64" s="57">
        <v>2024</v>
      </c>
    </row>
    <row r="65" spans="1:69" s="15" customFormat="1" ht="109.9" customHeight="1" x14ac:dyDescent="0.25">
      <c r="A65" s="132" t="s">
        <v>151</v>
      </c>
      <c r="B65" s="133"/>
      <c r="C65" s="134"/>
      <c r="D65" s="57"/>
      <c r="E65" s="57"/>
      <c r="F65" s="56">
        <f>SUM(F45:F64)</f>
        <v>73244.5</v>
      </c>
      <c r="G65" s="56">
        <f>SUM(G45:G64)</f>
        <v>67412.5</v>
      </c>
      <c r="H65" s="56"/>
      <c r="I65" s="57"/>
      <c r="J65" s="57"/>
      <c r="K65" s="57"/>
      <c r="L65" s="57"/>
      <c r="M65" s="69">
        <f>SUM(M45:M64)</f>
        <v>326908163.82999998</v>
      </c>
      <c r="N65" s="69">
        <f>SUM(N45:N64)</f>
        <v>36215718.409999996</v>
      </c>
      <c r="O65" s="69">
        <f>SUM(O45:O64)</f>
        <v>169364929.36000001</v>
      </c>
      <c r="P65" s="69"/>
      <c r="Q65" s="69">
        <f>SUM(Q45:Q64)</f>
        <v>35961643.25</v>
      </c>
      <c r="R65" s="69">
        <f>SUM(R45:R64)</f>
        <v>34820815.210000001</v>
      </c>
      <c r="S65" s="69">
        <f>SUM(S45:S64)</f>
        <v>2394897.56</v>
      </c>
      <c r="T65" s="69">
        <f>SUM(T45:T64)</f>
        <v>47284936.550000004</v>
      </c>
      <c r="U65" s="69">
        <f>SUM(U45:U64)</f>
        <v>865223.49</v>
      </c>
      <c r="V65" s="69"/>
      <c r="W65" s="69">
        <f t="shared" ref="W65:AC65" si="59">SUM(W45:W64)</f>
        <v>13405652.189999999</v>
      </c>
      <c r="X65" s="69">
        <f t="shared" si="59"/>
        <v>35039573.700000003</v>
      </c>
      <c r="Y65" s="69">
        <f t="shared" si="59"/>
        <v>31007648.43</v>
      </c>
      <c r="Z65" s="69">
        <f t="shared" si="59"/>
        <v>33381394.629999999</v>
      </c>
      <c r="AA65" s="69">
        <f t="shared" si="59"/>
        <v>30080436.599999998</v>
      </c>
      <c r="AB65" s="69">
        <f t="shared" si="59"/>
        <v>6596136.4700000016</v>
      </c>
      <c r="AC65" s="69">
        <f t="shared" si="59"/>
        <v>476419005.85000002</v>
      </c>
      <c r="AD65" s="92"/>
      <c r="AE65" s="92"/>
      <c r="AF65" s="92">
        <f>SUM(AF45:AF64)</f>
        <v>476419005.85000002</v>
      </c>
      <c r="AG65" s="57">
        <v>2024</v>
      </c>
      <c r="AH65" s="57">
        <v>2024</v>
      </c>
    </row>
    <row r="66" spans="1:69" s="15" customFormat="1" ht="109.9" customHeight="1" x14ac:dyDescent="0.25">
      <c r="A66" s="142" t="s">
        <v>85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4"/>
    </row>
    <row r="67" spans="1:69" ht="109.9" customHeight="1" x14ac:dyDescent="0.35">
      <c r="A67" s="57">
        <v>50</v>
      </c>
      <c r="B67" s="68" t="s">
        <v>84</v>
      </c>
      <c r="C67" s="57" t="s">
        <v>198</v>
      </c>
      <c r="D67" s="57">
        <v>1955</v>
      </c>
      <c r="E67" s="57">
        <v>5</v>
      </c>
      <c r="F67" s="56">
        <v>4191.2</v>
      </c>
      <c r="G67" s="56">
        <v>3885.4</v>
      </c>
      <c r="H67" s="56">
        <v>2625.3</v>
      </c>
      <c r="I67" s="57">
        <v>103</v>
      </c>
      <c r="J67" s="57" t="s">
        <v>27</v>
      </c>
      <c r="K67" s="57" t="s">
        <v>28</v>
      </c>
      <c r="L67" s="19"/>
      <c r="M67" s="69">
        <f>SUM(N67:U67)</f>
        <v>22397932.25</v>
      </c>
      <c r="N67" s="69">
        <f>ROUND(G67*616.25,2)</f>
        <v>2394377.75</v>
      </c>
      <c r="O67" s="69">
        <f>ROUND(G67*3201.73,2)</f>
        <v>12440001.74</v>
      </c>
      <c r="P67" s="69"/>
      <c r="Q67" s="69">
        <f>ROUND(G67*620.83,2)</f>
        <v>2412172.88</v>
      </c>
      <c r="R67" s="69">
        <f>ROUND(G67*660.21,2)</f>
        <v>2565179.9300000002</v>
      </c>
      <c r="S67" s="69"/>
      <c r="T67" s="69">
        <f>ROUND(G67*665.62,2)</f>
        <v>2586199.9500000002</v>
      </c>
      <c r="U67" s="19"/>
      <c r="V67" s="19"/>
      <c r="W67" s="19"/>
      <c r="X67" s="19"/>
      <c r="Y67" s="19"/>
      <c r="Z67" s="19"/>
      <c r="AA67" s="69">
        <v>1271794.8</v>
      </c>
      <c r="AB67" s="69">
        <f t="shared" ref="AB67:AB73" si="60">ROUND((M67+V67+W67+X67+Y67+Z67)*0.015,2)</f>
        <v>335968.98</v>
      </c>
      <c r="AC67" s="69">
        <f t="shared" ref="AC67:AC73" si="61">SUM(N67:AB67)</f>
        <v>24005696.030000001</v>
      </c>
      <c r="AD67" s="92"/>
      <c r="AE67" s="19"/>
      <c r="AF67" s="92">
        <f t="shared" ref="AF67:AF73" si="62">AC67-(AD67+AE67)</f>
        <v>24005696.030000001</v>
      </c>
      <c r="AG67" s="57">
        <v>2025</v>
      </c>
      <c r="AH67" s="57">
        <v>2025</v>
      </c>
    </row>
    <row r="68" spans="1:69" ht="109.9" customHeight="1" x14ac:dyDescent="0.35">
      <c r="A68" s="57">
        <v>51</v>
      </c>
      <c r="B68" s="68" t="s">
        <v>25</v>
      </c>
      <c r="C68" s="57" t="s">
        <v>199</v>
      </c>
      <c r="D68" s="57">
        <v>1959</v>
      </c>
      <c r="E68" s="57">
        <v>5</v>
      </c>
      <c r="F68" s="56">
        <v>5943.3</v>
      </c>
      <c r="G68" s="56">
        <f>4446.1+1014.4</f>
        <v>5460.5</v>
      </c>
      <c r="H68" s="56">
        <v>4446.1000000000004</v>
      </c>
      <c r="I68" s="57">
        <v>195</v>
      </c>
      <c r="J68" s="57" t="s">
        <v>27</v>
      </c>
      <c r="K68" s="57" t="s">
        <v>28</v>
      </c>
      <c r="L68" s="19"/>
      <c r="M68" s="69"/>
      <c r="N68" s="69"/>
      <c r="O68" s="69"/>
      <c r="P68" s="69"/>
      <c r="Q68" s="69"/>
      <c r="R68" s="69"/>
      <c r="S68" s="19"/>
      <c r="T68" s="69"/>
      <c r="U68" s="19"/>
      <c r="V68" s="19"/>
      <c r="W68" s="19"/>
      <c r="X68" s="19"/>
      <c r="Y68" s="69">
        <f>ROUND(G68*3435.59,2)</f>
        <v>18760039.199999999</v>
      </c>
      <c r="Z68" s="19"/>
      <c r="AA68" s="69">
        <v>1157372.3999999999</v>
      </c>
      <c r="AB68" s="69">
        <f t="shared" si="60"/>
        <v>281400.59000000003</v>
      </c>
      <c r="AC68" s="69">
        <f t="shared" si="61"/>
        <v>20198812.189999998</v>
      </c>
      <c r="AD68" s="92"/>
      <c r="AE68" s="19"/>
      <c r="AF68" s="92">
        <f t="shared" si="62"/>
        <v>20198812.189999998</v>
      </c>
      <c r="AG68" s="57">
        <v>2025</v>
      </c>
      <c r="AH68" s="57">
        <v>2025</v>
      </c>
    </row>
    <row r="69" spans="1:69" ht="109.9" customHeight="1" x14ac:dyDescent="0.35">
      <c r="A69" s="57">
        <v>52</v>
      </c>
      <c r="B69" s="68" t="s">
        <v>25</v>
      </c>
      <c r="C69" s="57" t="s">
        <v>200</v>
      </c>
      <c r="D69" s="57">
        <v>1990</v>
      </c>
      <c r="E69" s="57">
        <v>4</v>
      </c>
      <c r="F69" s="56">
        <v>1022.3</v>
      </c>
      <c r="G69" s="56">
        <f>632.2+289.5</f>
        <v>921.7</v>
      </c>
      <c r="H69" s="56">
        <v>632.20000000000005</v>
      </c>
      <c r="I69" s="57">
        <v>21</v>
      </c>
      <c r="J69" s="57" t="s">
        <v>27</v>
      </c>
      <c r="K69" s="57" t="s">
        <v>28</v>
      </c>
      <c r="L69" s="19"/>
      <c r="M69" s="6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69">
        <f>ROUND(G69*1954.25,2)</f>
        <v>1801232.23</v>
      </c>
      <c r="Y69" s="69">
        <f>ROUND(G69*3842.27,2)</f>
        <v>3541420.26</v>
      </c>
      <c r="Z69" s="69">
        <f>ROUND(G69*1135.41,2)</f>
        <v>1046507.4</v>
      </c>
      <c r="AA69" s="69">
        <v>883184.4</v>
      </c>
      <c r="AB69" s="69">
        <f t="shared" si="60"/>
        <v>95837.4</v>
      </c>
      <c r="AC69" s="69">
        <f t="shared" si="61"/>
        <v>7368181.6900000013</v>
      </c>
      <c r="AD69" s="92"/>
      <c r="AE69" s="19"/>
      <c r="AF69" s="92">
        <f t="shared" si="62"/>
        <v>7368181.6900000013</v>
      </c>
      <c r="AG69" s="57">
        <v>2025</v>
      </c>
      <c r="AH69" s="57">
        <v>2025</v>
      </c>
    </row>
    <row r="70" spans="1:69" ht="109.9" customHeight="1" x14ac:dyDescent="0.35">
      <c r="A70" s="57">
        <v>53</v>
      </c>
      <c r="B70" s="68" t="s">
        <v>25</v>
      </c>
      <c r="C70" s="57" t="s">
        <v>152</v>
      </c>
      <c r="D70" s="57">
        <v>1960</v>
      </c>
      <c r="E70" s="57">
        <v>5</v>
      </c>
      <c r="F70" s="56">
        <v>3424.4</v>
      </c>
      <c r="G70" s="56">
        <v>3184.3</v>
      </c>
      <c r="H70" s="56">
        <v>3001.9</v>
      </c>
      <c r="I70" s="57">
        <v>147</v>
      </c>
      <c r="J70" s="57" t="s">
        <v>27</v>
      </c>
      <c r="K70" s="57" t="s">
        <v>28</v>
      </c>
      <c r="L70" s="19"/>
      <c r="M70" s="69"/>
      <c r="N70" s="19"/>
      <c r="O70" s="19"/>
      <c r="P70" s="19"/>
      <c r="Q70" s="19"/>
      <c r="R70" s="19"/>
      <c r="S70" s="19"/>
      <c r="T70" s="19"/>
      <c r="U70" s="19"/>
      <c r="V70" s="69"/>
      <c r="W70" s="69">
        <f>ROUND(G70*3855.19,2)</f>
        <v>12276081.52</v>
      </c>
      <c r="X70" s="19"/>
      <c r="Y70" s="19"/>
      <c r="Z70" s="19"/>
      <c r="AA70" s="69">
        <v>1106822.3999999999</v>
      </c>
      <c r="AB70" s="69">
        <f t="shared" si="60"/>
        <v>184141.22</v>
      </c>
      <c r="AC70" s="69">
        <f t="shared" si="61"/>
        <v>13567045.140000001</v>
      </c>
      <c r="AD70" s="92"/>
      <c r="AE70" s="19"/>
      <c r="AF70" s="92">
        <f t="shared" si="62"/>
        <v>13567045.140000001</v>
      </c>
      <c r="AG70" s="57">
        <v>2025</v>
      </c>
      <c r="AH70" s="57">
        <v>2025</v>
      </c>
    </row>
    <row r="71" spans="1:69" ht="109.9" customHeight="1" x14ac:dyDescent="0.35">
      <c r="A71" s="57">
        <v>54</v>
      </c>
      <c r="B71" s="68" t="s">
        <v>25</v>
      </c>
      <c r="C71" s="57" t="s">
        <v>153</v>
      </c>
      <c r="D71" s="57">
        <v>1959</v>
      </c>
      <c r="E71" s="57">
        <v>5</v>
      </c>
      <c r="F71" s="56">
        <v>3832.4</v>
      </c>
      <c r="G71" s="56">
        <v>3488.1</v>
      </c>
      <c r="H71" s="56">
        <v>2854.9</v>
      </c>
      <c r="I71" s="57">
        <v>92</v>
      </c>
      <c r="J71" s="57" t="s">
        <v>27</v>
      </c>
      <c r="K71" s="57" t="s">
        <v>28</v>
      </c>
      <c r="L71" s="19"/>
      <c r="M71" s="69"/>
      <c r="N71" s="19"/>
      <c r="O71" s="19"/>
      <c r="P71" s="19"/>
      <c r="Q71" s="19"/>
      <c r="R71" s="19"/>
      <c r="S71" s="19"/>
      <c r="T71" s="19"/>
      <c r="U71" s="19"/>
      <c r="V71" s="19"/>
      <c r="W71" s="69">
        <f>ROUND(G71*3855.19,2)</f>
        <v>13447288.24</v>
      </c>
      <c r="X71" s="19"/>
      <c r="Y71" s="19"/>
      <c r="Z71" s="19"/>
      <c r="AA71" s="69">
        <v>1181968.8</v>
      </c>
      <c r="AB71" s="69">
        <f t="shared" si="60"/>
        <v>201709.32</v>
      </c>
      <c r="AC71" s="69">
        <f t="shared" si="61"/>
        <v>14830966.360000001</v>
      </c>
      <c r="AD71" s="92"/>
      <c r="AE71" s="19"/>
      <c r="AF71" s="92">
        <f t="shared" si="62"/>
        <v>14830966.360000001</v>
      </c>
      <c r="AG71" s="57">
        <v>2025</v>
      </c>
      <c r="AH71" s="57">
        <v>2025</v>
      </c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"/>
      <c r="BE71" s="14"/>
      <c r="BF71" s="14"/>
      <c r="BG71" s="14"/>
      <c r="BH71" s="14"/>
      <c r="BI71" s="14"/>
      <c r="BJ71" s="78"/>
      <c r="BK71" s="14"/>
      <c r="BL71" s="14"/>
      <c r="BM71" s="14"/>
      <c r="BN71" s="14"/>
      <c r="BO71" s="14"/>
      <c r="BP71" s="14"/>
      <c r="BQ71" s="14"/>
    </row>
    <row r="72" spans="1:69" ht="109.9" customHeight="1" x14ac:dyDescent="0.35">
      <c r="A72" s="57">
        <v>55</v>
      </c>
      <c r="B72" s="68" t="s">
        <v>25</v>
      </c>
      <c r="C72" s="57" t="s">
        <v>154</v>
      </c>
      <c r="D72" s="57">
        <v>1954</v>
      </c>
      <c r="E72" s="57">
        <v>5</v>
      </c>
      <c r="F72" s="56">
        <v>3287.3</v>
      </c>
      <c r="G72" s="56">
        <f>2186.4+696.9</f>
        <v>2883.3</v>
      </c>
      <c r="H72" s="56">
        <f>2186.4</f>
        <v>2186.4</v>
      </c>
      <c r="I72" s="57">
        <v>70</v>
      </c>
      <c r="J72" s="57" t="s">
        <v>27</v>
      </c>
      <c r="K72" s="57" t="s">
        <v>28</v>
      </c>
      <c r="L72" s="19"/>
      <c r="M72" s="69">
        <f>SUM(N72:U72)</f>
        <v>1776833.63</v>
      </c>
      <c r="N72" s="69">
        <f>ROUND(G72*616.25,2)</f>
        <v>1776833.63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69">
        <v>470856</v>
      </c>
      <c r="AB72" s="69">
        <f t="shared" si="60"/>
        <v>26652.5</v>
      </c>
      <c r="AC72" s="69">
        <f t="shared" si="61"/>
        <v>2274342.13</v>
      </c>
      <c r="AD72" s="92"/>
      <c r="AE72" s="19"/>
      <c r="AF72" s="92">
        <f t="shared" si="62"/>
        <v>2274342.13</v>
      </c>
      <c r="AG72" s="57">
        <v>2025</v>
      </c>
      <c r="AH72" s="57">
        <v>2025</v>
      </c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"/>
      <c r="BB72" s="14"/>
      <c r="BC72" s="14"/>
      <c r="BD72" s="14"/>
      <c r="BE72" s="14"/>
      <c r="BF72" s="14"/>
      <c r="BG72" s="14"/>
      <c r="BH72" s="14"/>
      <c r="BI72" s="14"/>
      <c r="BJ72" s="78"/>
      <c r="BK72" s="14"/>
      <c r="BL72" s="14"/>
      <c r="BM72" s="14"/>
      <c r="BN72" s="14"/>
      <c r="BO72" s="14"/>
      <c r="BP72" s="14"/>
      <c r="BQ72" s="14"/>
    </row>
    <row r="73" spans="1:69" ht="109.9" customHeight="1" x14ac:dyDescent="0.35">
      <c r="A73" s="57">
        <v>56</v>
      </c>
      <c r="B73" s="68" t="s">
        <v>25</v>
      </c>
      <c r="C73" s="57" t="s">
        <v>155</v>
      </c>
      <c r="D73" s="57">
        <v>1952</v>
      </c>
      <c r="E73" s="57">
        <v>4</v>
      </c>
      <c r="F73" s="56">
        <v>2314.6</v>
      </c>
      <c r="G73" s="56">
        <v>2100.1</v>
      </c>
      <c r="H73" s="56">
        <v>1326.2</v>
      </c>
      <c r="I73" s="57">
        <v>49</v>
      </c>
      <c r="J73" s="57" t="s">
        <v>27</v>
      </c>
      <c r="K73" s="57" t="s">
        <v>28</v>
      </c>
      <c r="L73" s="19"/>
      <c r="M73" s="69">
        <f t="shared" ref="M73" si="63">SUM(N73:U73)</f>
        <v>7872770.8900000006</v>
      </c>
      <c r="N73" s="69">
        <f>ROUND(G73*616.25,2)</f>
        <v>1294186.6299999999</v>
      </c>
      <c r="O73" s="69">
        <f>ROUND(G73*871.5,2)</f>
        <v>1830237.15</v>
      </c>
      <c r="P73" s="69"/>
      <c r="Q73" s="69">
        <f>ROUND(G73*596.38,2)</f>
        <v>1252457.6399999999</v>
      </c>
      <c r="R73" s="69">
        <f>ROUND(G73*589.88,2)</f>
        <v>1238806.99</v>
      </c>
      <c r="S73" s="19"/>
      <c r="T73" s="69">
        <f>ROUND(G73*1074.75,2)</f>
        <v>2257082.48</v>
      </c>
      <c r="U73" s="69"/>
      <c r="V73" s="19"/>
      <c r="W73" s="19"/>
      <c r="X73" s="19"/>
      <c r="Y73" s="19"/>
      <c r="Z73" s="19"/>
      <c r="AA73" s="69">
        <v>947386.8</v>
      </c>
      <c r="AB73" s="69">
        <f t="shared" si="60"/>
        <v>118091.56</v>
      </c>
      <c r="AC73" s="69">
        <f t="shared" si="61"/>
        <v>8938249.2500000019</v>
      </c>
      <c r="AD73" s="92"/>
      <c r="AE73" s="19"/>
      <c r="AF73" s="92">
        <f t="shared" si="62"/>
        <v>8938249.2500000019</v>
      </c>
      <c r="AG73" s="57">
        <v>2025</v>
      </c>
      <c r="AH73" s="57">
        <v>2025</v>
      </c>
      <c r="AI73" s="11"/>
      <c r="AJ73" s="11"/>
      <c r="AK73" s="11"/>
      <c r="AL73" s="11"/>
      <c r="AM73" s="11"/>
      <c r="AN73" s="11"/>
      <c r="AO73" s="79"/>
      <c r="AP73" s="11"/>
      <c r="AQ73" s="11"/>
      <c r="AR73" s="11"/>
      <c r="AS73" s="80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81"/>
      <c r="BK73" s="11"/>
      <c r="BL73" s="11"/>
      <c r="BM73" s="11"/>
      <c r="BN73" s="11"/>
      <c r="BO73" s="11"/>
      <c r="BP73" s="11"/>
      <c r="BQ73" s="11"/>
    </row>
    <row r="74" spans="1:69" ht="109.9" customHeight="1" x14ac:dyDescent="0.35">
      <c r="A74" s="57">
        <v>57</v>
      </c>
      <c r="B74" s="68" t="s">
        <v>25</v>
      </c>
      <c r="C74" s="57" t="s">
        <v>201</v>
      </c>
      <c r="D74" s="57">
        <v>1956</v>
      </c>
      <c r="E74" s="57">
        <v>5</v>
      </c>
      <c r="F74" s="56">
        <v>6356</v>
      </c>
      <c r="G74" s="56">
        <v>5847</v>
      </c>
      <c r="H74" s="56">
        <v>4091.5</v>
      </c>
      <c r="I74" s="57">
        <v>144</v>
      </c>
      <c r="J74" s="57" t="s">
        <v>26</v>
      </c>
      <c r="K74" s="57" t="s">
        <v>28</v>
      </c>
      <c r="L74" s="19"/>
      <c r="M74" s="69">
        <f>SUM(N74:U74)</f>
        <v>18720515.309999999</v>
      </c>
      <c r="N74" s="69"/>
      <c r="O74" s="69">
        <f>ROUND(G74*3201.73,2)</f>
        <v>18720515.309999999</v>
      </c>
      <c r="P74" s="69"/>
      <c r="Q74" s="69"/>
      <c r="R74" s="69"/>
      <c r="S74" s="69"/>
      <c r="T74" s="69"/>
      <c r="U74" s="19"/>
      <c r="V74" s="19"/>
      <c r="W74" s="19"/>
      <c r="X74" s="19"/>
      <c r="Y74" s="19"/>
      <c r="Z74" s="19"/>
      <c r="AA74" s="69">
        <v>665795.19999999995</v>
      </c>
      <c r="AB74" s="69">
        <f>ROUND((M74+V74+W74+X74+Y74+Z74)*0.015,2)</f>
        <v>280807.73</v>
      </c>
      <c r="AC74" s="69">
        <f>SUM(N74:AB74)</f>
        <v>19667118.239999998</v>
      </c>
      <c r="AD74" s="19"/>
      <c r="AE74" s="19"/>
      <c r="AF74" s="92">
        <f>AC74-(AD74+AE74)</f>
        <v>19667118.239999998</v>
      </c>
      <c r="AG74" s="57">
        <v>2025</v>
      </c>
      <c r="AH74" s="57">
        <v>2025</v>
      </c>
    </row>
    <row r="75" spans="1:69" ht="109.9" customHeight="1" x14ac:dyDescent="0.35">
      <c r="A75" s="57">
        <v>58</v>
      </c>
      <c r="B75" s="68" t="s">
        <v>25</v>
      </c>
      <c r="C75" s="57" t="s">
        <v>156</v>
      </c>
      <c r="D75" s="57">
        <v>1957</v>
      </c>
      <c r="E75" s="57">
        <v>4</v>
      </c>
      <c r="F75" s="56">
        <v>2939.5</v>
      </c>
      <c r="G75" s="56">
        <v>2737</v>
      </c>
      <c r="H75" s="56" t="s">
        <v>46</v>
      </c>
      <c r="I75" s="57">
        <v>60</v>
      </c>
      <c r="J75" s="57" t="s">
        <v>27</v>
      </c>
      <c r="K75" s="57" t="s">
        <v>28</v>
      </c>
      <c r="L75" s="19"/>
      <c r="M75" s="6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69">
        <f t="shared" ref="X75" si="64">ROUND(G75*1954.25,2)</f>
        <v>5348782.25</v>
      </c>
      <c r="Y75" s="69"/>
      <c r="Z75" s="69">
        <f t="shared" ref="Z75" si="65">ROUND(G75*1135.41,2)</f>
        <v>3107617.17</v>
      </c>
      <c r="AA75" s="69">
        <v>848612.4</v>
      </c>
      <c r="AB75" s="69">
        <f>ROUND((M75+V75+W75+X75+Y75+Z75)*0.015,2)</f>
        <v>126845.99</v>
      </c>
      <c r="AC75" s="69">
        <f>SUM(N75:AB75)</f>
        <v>9431857.8100000005</v>
      </c>
      <c r="AD75" s="19"/>
      <c r="AE75" s="19"/>
      <c r="AF75" s="92">
        <f>AC75-(AD75+AE75)</f>
        <v>9431857.8100000005</v>
      </c>
      <c r="AG75" s="57">
        <v>2025</v>
      </c>
      <c r="AH75" s="57">
        <v>2025</v>
      </c>
    </row>
    <row r="76" spans="1:69" ht="109.9" customHeight="1" x14ac:dyDescent="0.35">
      <c r="A76" s="57">
        <v>59</v>
      </c>
      <c r="B76" s="68" t="s">
        <v>25</v>
      </c>
      <c r="C76" s="57" t="s">
        <v>157</v>
      </c>
      <c r="D76" s="57">
        <v>1994</v>
      </c>
      <c r="E76" s="57">
        <v>7</v>
      </c>
      <c r="F76" s="56">
        <v>4091.5</v>
      </c>
      <c r="G76" s="56">
        <v>2376.5</v>
      </c>
      <c r="H76" s="56">
        <v>3638.2</v>
      </c>
      <c r="I76" s="57">
        <v>134</v>
      </c>
      <c r="J76" s="57" t="s">
        <v>27</v>
      </c>
      <c r="K76" s="57" t="s">
        <v>28</v>
      </c>
      <c r="L76" s="19"/>
      <c r="M76" s="69"/>
      <c r="N76" s="19"/>
      <c r="O76" s="19"/>
      <c r="P76" s="19"/>
      <c r="Q76" s="19"/>
      <c r="R76" s="19"/>
      <c r="S76" s="19"/>
      <c r="T76" s="19"/>
      <c r="U76" s="19"/>
      <c r="V76" s="19"/>
      <c r="W76" s="69">
        <f>ROUND(G76*2138.99,2)</f>
        <v>5083309.74</v>
      </c>
      <c r="X76" s="19"/>
      <c r="Y76" s="19"/>
      <c r="Z76" s="19"/>
      <c r="AA76" s="69">
        <v>1142593.2</v>
      </c>
      <c r="AB76" s="69">
        <f>ROUND((M76+V76+W76+X76+Y76+Z76)*0.015,2)</f>
        <v>76249.649999999994</v>
      </c>
      <c r="AC76" s="69">
        <f>SUM(N76:AB76)</f>
        <v>6302152.5900000008</v>
      </c>
      <c r="AD76" s="19"/>
      <c r="AE76" s="19"/>
      <c r="AF76" s="92">
        <f>AC76-(AD76+AE76)</f>
        <v>6302152.5900000008</v>
      </c>
      <c r="AG76" s="57">
        <v>2025</v>
      </c>
      <c r="AH76" s="57">
        <v>2025</v>
      </c>
    </row>
    <row r="77" spans="1:69" ht="109.9" customHeight="1" x14ac:dyDescent="0.35">
      <c r="A77" s="57">
        <v>60</v>
      </c>
      <c r="B77" s="68" t="s">
        <v>25</v>
      </c>
      <c r="C77" s="57" t="s">
        <v>158</v>
      </c>
      <c r="D77" s="57">
        <v>1955</v>
      </c>
      <c r="E77" s="57">
        <v>5</v>
      </c>
      <c r="F77" s="56">
        <v>4428.5</v>
      </c>
      <c r="G77" s="56">
        <v>3955.5</v>
      </c>
      <c r="H77" s="56">
        <v>1616.9</v>
      </c>
      <c r="I77" s="57">
        <v>75</v>
      </c>
      <c r="J77" s="57" t="s">
        <v>27</v>
      </c>
      <c r="K77" s="89" t="s">
        <v>181</v>
      </c>
      <c r="L77" s="19"/>
      <c r="M77" s="69">
        <f t="shared" ref="M77" si="66">SUM(N77:U77)</f>
        <v>22802033.539999999</v>
      </c>
      <c r="N77" s="69">
        <f>ROUND(G77*616.25,2)</f>
        <v>2437576.88</v>
      </c>
      <c r="O77" s="69">
        <f>ROUND(G77*3201.73,2)</f>
        <v>12664443.02</v>
      </c>
      <c r="P77" s="69"/>
      <c r="Q77" s="69">
        <f>ROUND(G77*620.83,2)</f>
        <v>2455693.0699999998</v>
      </c>
      <c r="R77" s="69">
        <f>ROUND(G77*660.21,2)</f>
        <v>2611460.66</v>
      </c>
      <c r="S77" s="69"/>
      <c r="T77" s="69">
        <f>ROUND(G77*665.62,2)</f>
        <v>2632859.91</v>
      </c>
      <c r="U77" s="19"/>
      <c r="V77" s="19"/>
      <c r="W77" s="19"/>
      <c r="X77" s="19"/>
      <c r="Y77" s="19"/>
      <c r="Z77" s="19"/>
      <c r="AA77" s="69">
        <v>1450280.4</v>
      </c>
      <c r="AB77" s="69">
        <f t="shared" ref="AB77:AB102" si="67">ROUND((M77+V77+W77+X77+Y77+Z77)*0.015,2)</f>
        <v>342030.5</v>
      </c>
      <c r="AC77" s="69">
        <f t="shared" ref="AC77:AC102" si="68">SUM(N77:AB77)</f>
        <v>24594344.439999998</v>
      </c>
      <c r="AD77" s="19"/>
      <c r="AE77" s="19"/>
      <c r="AF77" s="92">
        <f t="shared" ref="AF77:AF102" si="69">AC77-(AD77+AE77)</f>
        <v>24594344.439999998</v>
      </c>
      <c r="AG77" s="57">
        <v>2025</v>
      </c>
      <c r="AH77" s="57">
        <v>2025</v>
      </c>
    </row>
    <row r="78" spans="1:69" ht="109.9" customHeight="1" x14ac:dyDescent="0.35">
      <c r="A78" s="57">
        <v>61</v>
      </c>
      <c r="B78" s="68" t="s">
        <v>25</v>
      </c>
      <c r="C78" s="57" t="s">
        <v>159</v>
      </c>
      <c r="D78" s="57">
        <v>1950</v>
      </c>
      <c r="E78" s="57">
        <v>4</v>
      </c>
      <c r="F78" s="56">
        <v>1853.9</v>
      </c>
      <c r="G78" s="56">
        <f>1101.1+619.1</f>
        <v>1720.1999999999998</v>
      </c>
      <c r="H78" s="56">
        <v>619.1</v>
      </c>
      <c r="I78" s="57">
        <v>39</v>
      </c>
      <c r="J78" s="57" t="s">
        <v>27</v>
      </c>
      <c r="K78" s="57" t="s">
        <v>28</v>
      </c>
      <c r="L78" s="19" t="s">
        <v>9</v>
      </c>
      <c r="M78" s="6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69">
        <f>ROUND(G78*1954.251,2)</f>
        <v>3361702.57</v>
      </c>
      <c r="Y78" s="69">
        <f>ROUND(G78*6728.86*1.002,2)</f>
        <v>11598134.939999999</v>
      </c>
      <c r="Z78" s="69">
        <f>ROUND(G78*1135.41,2)</f>
        <v>1953132.28</v>
      </c>
      <c r="AA78" s="69">
        <f>768372+820137.6</f>
        <v>1588509.6</v>
      </c>
      <c r="AB78" s="69">
        <f t="shared" si="67"/>
        <v>253694.55</v>
      </c>
      <c r="AC78" s="69">
        <f t="shared" si="68"/>
        <v>18755173.940000001</v>
      </c>
      <c r="AD78" s="19"/>
      <c r="AE78" s="19"/>
      <c r="AF78" s="92">
        <f t="shared" si="69"/>
        <v>18755173.940000001</v>
      </c>
      <c r="AG78" s="57">
        <v>2025</v>
      </c>
      <c r="AH78" s="57">
        <v>2025</v>
      </c>
      <c r="AI78" s="11"/>
      <c r="AJ78" s="77"/>
      <c r="AK78" s="77"/>
      <c r="AL78" s="77"/>
      <c r="AM78" s="77"/>
      <c r="AN78" s="77"/>
      <c r="AO78" s="79"/>
      <c r="AP78" s="11"/>
      <c r="AQ78" s="11"/>
      <c r="AR78" s="12"/>
      <c r="AS78" s="82"/>
      <c r="AT78" s="83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84"/>
      <c r="BK78" s="11"/>
      <c r="BL78" s="11"/>
      <c r="BM78" s="11"/>
      <c r="BN78" s="11"/>
      <c r="BO78" s="11"/>
      <c r="BP78" s="11"/>
      <c r="BQ78" s="11"/>
    </row>
    <row r="79" spans="1:69" ht="109.9" customHeight="1" x14ac:dyDescent="0.35">
      <c r="A79" s="57">
        <v>62</v>
      </c>
      <c r="B79" s="68" t="s">
        <v>25</v>
      </c>
      <c r="C79" s="57" t="s">
        <v>160</v>
      </c>
      <c r="D79" s="57">
        <v>1959</v>
      </c>
      <c r="E79" s="57">
        <v>4</v>
      </c>
      <c r="F79" s="56">
        <v>1362.9</v>
      </c>
      <c r="G79" s="56">
        <v>1267.3</v>
      </c>
      <c r="H79" s="56">
        <v>1267.3</v>
      </c>
      <c r="I79" s="57">
        <v>32</v>
      </c>
      <c r="J79" s="57" t="s">
        <v>27</v>
      </c>
      <c r="K79" s="57" t="s">
        <v>28</v>
      </c>
      <c r="L79" s="19"/>
      <c r="M79" s="69"/>
      <c r="N79" s="19"/>
      <c r="O79" s="19"/>
      <c r="P79" s="19"/>
      <c r="Q79" s="19"/>
      <c r="R79" s="19"/>
      <c r="S79" s="19"/>
      <c r="T79" s="19"/>
      <c r="U79" s="19"/>
      <c r="V79" s="19"/>
      <c r="W79" s="69">
        <f>ROUND(G79*5975.33,2)</f>
        <v>7572535.71</v>
      </c>
      <c r="X79" s="19"/>
      <c r="Y79" s="19"/>
      <c r="Z79" s="19"/>
      <c r="AA79" s="69">
        <v>727611.6</v>
      </c>
      <c r="AB79" s="69">
        <f>ROUND((M79+V79+W79+X79+Y79+Z79)*0.015,2)</f>
        <v>113588.04</v>
      </c>
      <c r="AC79" s="69">
        <f>SUM(N79:AB79)</f>
        <v>8413735.3499999996</v>
      </c>
      <c r="AD79" s="19"/>
      <c r="AE79" s="19"/>
      <c r="AF79" s="92">
        <f>AC79-(AD79+AE79)</f>
        <v>8413735.3499999996</v>
      </c>
      <c r="AG79" s="57">
        <v>2025</v>
      </c>
      <c r="AH79" s="57">
        <v>2025</v>
      </c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77"/>
      <c r="BF79" s="77"/>
      <c r="BG79" s="77"/>
      <c r="BH79" s="77"/>
      <c r="BI79" s="77"/>
      <c r="BJ79" s="85"/>
      <c r="BK79" s="77"/>
      <c r="BL79" s="77"/>
      <c r="BM79" s="77"/>
      <c r="BN79" s="77"/>
      <c r="BO79" s="13"/>
      <c r="BP79" s="13"/>
      <c r="BQ79" s="13"/>
    </row>
    <row r="80" spans="1:69" ht="109.9" customHeight="1" x14ac:dyDescent="0.35">
      <c r="A80" s="57">
        <v>63</v>
      </c>
      <c r="B80" s="68" t="s">
        <v>25</v>
      </c>
      <c r="C80" s="57" t="s">
        <v>161</v>
      </c>
      <c r="D80" s="57">
        <v>1960</v>
      </c>
      <c r="E80" s="57">
        <v>5</v>
      </c>
      <c r="F80" s="56">
        <v>1792.6</v>
      </c>
      <c r="G80" s="56">
        <v>1671.8</v>
      </c>
      <c r="H80" s="56">
        <v>1595.5</v>
      </c>
      <c r="I80" s="57">
        <v>68</v>
      </c>
      <c r="J80" s="57" t="s">
        <v>27</v>
      </c>
      <c r="K80" s="57" t="s">
        <v>28</v>
      </c>
      <c r="L80" s="19"/>
      <c r="M80" s="69"/>
      <c r="N80" s="19"/>
      <c r="O80" s="19"/>
      <c r="P80" s="19"/>
      <c r="Q80" s="19"/>
      <c r="R80" s="19"/>
      <c r="S80" s="19"/>
      <c r="T80" s="19"/>
      <c r="U80" s="19"/>
      <c r="V80" s="19"/>
      <c r="W80" s="69">
        <f>ROUND(G80*3855.19,2)</f>
        <v>6445106.6399999997</v>
      </c>
      <c r="X80" s="19"/>
      <c r="Y80" s="19"/>
      <c r="Z80" s="19"/>
      <c r="AA80" s="69">
        <v>979496.4</v>
      </c>
      <c r="AB80" s="69">
        <f t="shared" ref="AB80:AB81" si="70">ROUND((M80+V80+W80+X80+Y80+Z80)*0.015,2)</f>
        <v>96676.6</v>
      </c>
      <c r="AC80" s="69">
        <f t="shared" ref="AC80:AC81" si="71">SUM(N80:AB80)</f>
        <v>7521279.6399999997</v>
      </c>
      <c r="AD80" s="19"/>
      <c r="AE80" s="19"/>
      <c r="AF80" s="92">
        <f t="shared" ref="AF80:AF81" si="72">AC80-(AD80+AE80)</f>
        <v>7521279.6399999997</v>
      </c>
      <c r="AG80" s="57">
        <v>2025</v>
      </c>
      <c r="AH80" s="57">
        <v>2025</v>
      </c>
    </row>
    <row r="81" spans="1:69" ht="109.9" customHeight="1" x14ac:dyDescent="0.35">
      <c r="A81" s="57">
        <v>64</v>
      </c>
      <c r="B81" s="68" t="s">
        <v>25</v>
      </c>
      <c r="C81" s="57" t="s">
        <v>162</v>
      </c>
      <c r="D81" s="57">
        <v>1960</v>
      </c>
      <c r="E81" s="57">
        <v>5</v>
      </c>
      <c r="F81" s="56">
        <v>1740</v>
      </c>
      <c r="G81" s="56">
        <v>1617.4</v>
      </c>
      <c r="H81" s="56">
        <v>1617.4</v>
      </c>
      <c r="I81" s="57">
        <v>77</v>
      </c>
      <c r="J81" s="57" t="s">
        <v>27</v>
      </c>
      <c r="K81" s="57" t="s">
        <v>28</v>
      </c>
      <c r="L81" s="19"/>
      <c r="M81" s="69"/>
      <c r="N81" s="19"/>
      <c r="O81" s="19"/>
      <c r="P81" s="19"/>
      <c r="Q81" s="19"/>
      <c r="R81" s="19"/>
      <c r="S81" s="19"/>
      <c r="T81" s="19"/>
      <c r="U81" s="19"/>
      <c r="V81" s="19"/>
      <c r="W81" s="69">
        <f>ROUND(G81*3855.19,2)</f>
        <v>6235384.3099999996</v>
      </c>
      <c r="X81" s="19"/>
      <c r="Y81" s="19"/>
      <c r="Z81" s="19"/>
      <c r="AA81" s="69">
        <v>967886.4</v>
      </c>
      <c r="AB81" s="69">
        <f t="shared" si="70"/>
        <v>93530.76</v>
      </c>
      <c r="AC81" s="69">
        <f t="shared" si="71"/>
        <v>7296801.4699999997</v>
      </c>
      <c r="AD81" s="19"/>
      <c r="AE81" s="19"/>
      <c r="AF81" s="92">
        <f t="shared" si="72"/>
        <v>7296801.4699999997</v>
      </c>
      <c r="AG81" s="57">
        <v>2025</v>
      </c>
      <c r="AH81" s="57">
        <v>2025</v>
      </c>
    </row>
    <row r="82" spans="1:69" ht="109.9" customHeight="1" x14ac:dyDescent="0.35">
      <c r="A82" s="57">
        <v>65</v>
      </c>
      <c r="B82" s="68" t="s">
        <v>25</v>
      </c>
      <c r="C82" s="57" t="s">
        <v>163</v>
      </c>
      <c r="D82" s="57">
        <v>1955</v>
      </c>
      <c r="E82" s="57">
        <v>5</v>
      </c>
      <c r="F82" s="56">
        <v>3563.5</v>
      </c>
      <c r="G82" s="56">
        <v>3202.7</v>
      </c>
      <c r="H82" s="56">
        <v>2277.1999999999998</v>
      </c>
      <c r="I82" s="57">
        <v>50</v>
      </c>
      <c r="J82" s="57" t="s">
        <v>27</v>
      </c>
      <c r="K82" s="57" t="s">
        <v>28</v>
      </c>
      <c r="L82" s="19"/>
      <c r="M82" s="69">
        <f>SUM(N82:U82)</f>
        <v>18462412.530000001</v>
      </c>
      <c r="N82" s="69">
        <f>ROUND(G82*616.25,2)</f>
        <v>1973663.88</v>
      </c>
      <c r="O82" s="69">
        <f>ROUND(G82*3201.73,2)</f>
        <v>10254180.67</v>
      </c>
      <c r="P82" s="69"/>
      <c r="Q82" s="69">
        <f>ROUND(G82*620.83,2)</f>
        <v>1988332.24</v>
      </c>
      <c r="R82" s="69">
        <f>ROUND(G82*660.21,2)</f>
        <v>2114454.5699999998</v>
      </c>
      <c r="S82" s="69"/>
      <c r="T82" s="69">
        <f>ROUND(G82*665.62,2)</f>
        <v>2131781.17</v>
      </c>
      <c r="U82" s="19"/>
      <c r="V82" s="19"/>
      <c r="W82" s="19"/>
      <c r="X82" s="19"/>
      <c r="Y82" s="19"/>
      <c r="Z82" s="19"/>
      <c r="AA82" s="69">
        <v>1234220.3999999999</v>
      </c>
      <c r="AB82" s="69">
        <f>ROUND((M82+V82+W82+X82+Y82+Z82)*0.015,2)</f>
        <v>276936.19</v>
      </c>
      <c r="AC82" s="69">
        <f>SUM(N82:AB82)</f>
        <v>19973569.120000001</v>
      </c>
      <c r="AD82" s="19"/>
      <c r="AE82" s="19"/>
      <c r="AF82" s="92">
        <f>AC82-(AD82+AE82)</f>
        <v>19973569.120000001</v>
      </c>
      <c r="AG82" s="57">
        <v>2025</v>
      </c>
      <c r="AH82" s="57">
        <v>2025</v>
      </c>
    </row>
    <row r="83" spans="1:69" ht="109.9" customHeight="1" x14ac:dyDescent="0.35">
      <c r="A83" s="57">
        <v>66</v>
      </c>
      <c r="B83" s="68" t="s">
        <v>25</v>
      </c>
      <c r="C83" s="57" t="s">
        <v>164</v>
      </c>
      <c r="D83" s="57">
        <v>1958</v>
      </c>
      <c r="E83" s="57">
        <v>5</v>
      </c>
      <c r="F83" s="56">
        <v>6785.2</v>
      </c>
      <c r="G83" s="56">
        <v>6293.3</v>
      </c>
      <c r="H83" s="56" t="s">
        <v>45</v>
      </c>
      <c r="I83" s="57">
        <v>128</v>
      </c>
      <c r="J83" s="57" t="s">
        <v>27</v>
      </c>
      <c r="K83" s="89" t="s">
        <v>181</v>
      </c>
      <c r="L83" s="19"/>
      <c r="M83" s="69"/>
      <c r="N83" s="19"/>
      <c r="O83" s="19"/>
      <c r="P83" s="19"/>
      <c r="Q83" s="19"/>
      <c r="R83" s="19"/>
      <c r="S83" s="19"/>
      <c r="T83" s="19"/>
      <c r="U83" s="19"/>
      <c r="V83" s="19"/>
      <c r="W83" s="69">
        <f>ROUND(G83*3855.19,2)</f>
        <v>24261867.23</v>
      </c>
      <c r="X83" s="69"/>
      <c r="Y83" s="69"/>
      <c r="Z83" s="69"/>
      <c r="AA83" s="69">
        <v>1446368.4</v>
      </c>
      <c r="AB83" s="69">
        <f>ROUND((M83+V83+W83+X83+Y83+Z83)*0.015,2)</f>
        <v>363928.01</v>
      </c>
      <c r="AC83" s="69">
        <f>SUM(N83:AB83)</f>
        <v>26072163.640000001</v>
      </c>
      <c r="AD83" s="19"/>
      <c r="AE83" s="19"/>
      <c r="AF83" s="92">
        <f>AC83-(AD83+AE83)</f>
        <v>26072163.640000001</v>
      </c>
      <c r="AG83" s="57">
        <v>2025</v>
      </c>
      <c r="AH83" s="57">
        <v>2025</v>
      </c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2"/>
      <c r="BF83" s="12"/>
      <c r="BG83" s="12"/>
      <c r="BH83" s="12"/>
      <c r="BI83" s="12"/>
      <c r="BJ83" s="84"/>
      <c r="BK83" s="12"/>
      <c r="BL83" s="12"/>
      <c r="BM83" s="12"/>
      <c r="BN83" s="12"/>
      <c r="BO83" s="12"/>
      <c r="BP83" s="12"/>
      <c r="BQ83" s="12"/>
    </row>
    <row r="84" spans="1:69" ht="109.9" customHeight="1" x14ac:dyDescent="0.35">
      <c r="A84" s="57">
        <v>67</v>
      </c>
      <c r="B84" s="68" t="s">
        <v>25</v>
      </c>
      <c r="C84" s="57" t="s">
        <v>165</v>
      </c>
      <c r="D84" s="57">
        <v>1959</v>
      </c>
      <c r="E84" s="57">
        <v>5</v>
      </c>
      <c r="F84" s="56">
        <v>6636.8</v>
      </c>
      <c r="G84" s="56">
        <v>6047.4</v>
      </c>
      <c r="H84" s="56">
        <v>4352.3</v>
      </c>
      <c r="I84" s="57">
        <v>150</v>
      </c>
      <c r="J84" s="57" t="s">
        <v>27</v>
      </c>
      <c r="K84" s="57" t="s">
        <v>28</v>
      </c>
      <c r="L84" s="19"/>
      <c r="M84" s="69"/>
      <c r="N84" s="19"/>
      <c r="O84" s="19"/>
      <c r="P84" s="19"/>
      <c r="Q84" s="19"/>
      <c r="R84" s="19"/>
      <c r="S84" s="19"/>
      <c r="T84" s="19"/>
      <c r="U84" s="19"/>
      <c r="V84" s="19"/>
      <c r="W84" s="69">
        <f>ROUND(G84*3855.19,2)</f>
        <v>23313876.010000002</v>
      </c>
      <c r="X84" s="19"/>
      <c r="Y84" s="19"/>
      <c r="Z84" s="19"/>
      <c r="AA84" s="69">
        <v>1417458</v>
      </c>
      <c r="AB84" s="69">
        <f>ROUND((M84+V84+W84+X84+Y84+Z84)*0.015,2)</f>
        <v>349708.14</v>
      </c>
      <c r="AC84" s="69">
        <f>SUM(N84:AB84)</f>
        <v>25081042.150000002</v>
      </c>
      <c r="AD84" s="19"/>
      <c r="AE84" s="19"/>
      <c r="AF84" s="92">
        <f>AC84-(AD84+AE84)</f>
        <v>25081042.150000002</v>
      </c>
      <c r="AG84" s="57">
        <v>2025</v>
      </c>
      <c r="AH84" s="57">
        <v>2025</v>
      </c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2"/>
      <c r="BP84" s="12"/>
      <c r="BQ84" s="12"/>
    </row>
    <row r="85" spans="1:69" ht="109.9" customHeight="1" x14ac:dyDescent="0.35">
      <c r="A85" s="57">
        <v>68</v>
      </c>
      <c r="B85" s="68" t="s">
        <v>25</v>
      </c>
      <c r="C85" s="57" t="s">
        <v>166</v>
      </c>
      <c r="D85" s="57">
        <v>1950</v>
      </c>
      <c r="E85" s="57">
        <v>5</v>
      </c>
      <c r="F85" s="56">
        <v>3366.6</v>
      </c>
      <c r="G85" s="56">
        <v>3131.3</v>
      </c>
      <c r="H85" s="56">
        <v>2081.81</v>
      </c>
      <c r="I85" s="57">
        <v>66</v>
      </c>
      <c r="J85" s="57" t="s">
        <v>27</v>
      </c>
      <c r="K85" s="57" t="s">
        <v>28</v>
      </c>
      <c r="L85" s="19"/>
      <c r="M85" s="69">
        <f t="shared" ref="M85:M99" si="73">SUM(N85:U85)</f>
        <v>1058723.8400000001</v>
      </c>
      <c r="N85" s="19"/>
      <c r="O85" s="19"/>
      <c r="P85" s="19"/>
      <c r="Q85" s="19"/>
      <c r="R85" s="19"/>
      <c r="S85" s="19"/>
      <c r="T85" s="19"/>
      <c r="U85" s="69">
        <f t="shared" ref="U85" si="74">ROUND(G85*338.11,2)</f>
        <v>1058723.8400000001</v>
      </c>
      <c r="V85" s="19"/>
      <c r="W85" s="19"/>
      <c r="X85" s="69">
        <f>ROUND(G85*706.71,2)</f>
        <v>2212921.02</v>
      </c>
      <c r="Y85" s="69">
        <f>ROUND(G85*3435.59,2)</f>
        <v>10757862.970000001</v>
      </c>
      <c r="Z85" s="69">
        <f>ROUND(G85*1135.41,2)</f>
        <v>3555309.33</v>
      </c>
      <c r="AA85" s="69">
        <v>1785334.8</v>
      </c>
      <c r="AB85" s="69">
        <f t="shared" si="67"/>
        <v>263772.26</v>
      </c>
      <c r="AC85" s="69">
        <f t="shared" si="68"/>
        <v>19633924.220000006</v>
      </c>
      <c r="AD85" s="19"/>
      <c r="AE85" s="19"/>
      <c r="AF85" s="92">
        <f t="shared" si="69"/>
        <v>19633924.220000006</v>
      </c>
      <c r="AG85" s="57">
        <v>2025</v>
      </c>
      <c r="AH85" s="57">
        <v>2025</v>
      </c>
      <c r="AI85" s="139"/>
      <c r="AJ85" s="139"/>
      <c r="AK85" s="139"/>
      <c r="AL85" s="139"/>
      <c r="AM85" s="139"/>
      <c r="AN85" s="139"/>
      <c r="AO85" s="139"/>
      <c r="AP85" s="139"/>
      <c r="AQ85" s="139"/>
      <c r="AR85" s="12"/>
      <c r="AS85" s="82"/>
      <c r="AT85" s="83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84"/>
      <c r="BK85" s="11"/>
      <c r="BL85" s="11"/>
      <c r="BM85" s="11"/>
      <c r="BN85" s="11"/>
      <c r="BO85" s="11"/>
      <c r="BP85" s="11"/>
      <c r="BQ85" s="11"/>
    </row>
    <row r="86" spans="1:69" ht="109.9" customHeight="1" x14ac:dyDescent="0.35">
      <c r="A86" s="57">
        <v>69</v>
      </c>
      <c r="B86" s="68" t="s">
        <v>25</v>
      </c>
      <c r="C86" s="57" t="s">
        <v>167</v>
      </c>
      <c r="D86" s="57">
        <v>1967</v>
      </c>
      <c r="E86" s="57">
        <v>5</v>
      </c>
      <c r="F86" s="56">
        <v>3527.3</v>
      </c>
      <c r="G86" s="56">
        <v>3269</v>
      </c>
      <c r="H86" s="56" t="s">
        <v>47</v>
      </c>
      <c r="I86" s="57" t="s">
        <v>48</v>
      </c>
      <c r="J86" s="57" t="s">
        <v>27</v>
      </c>
      <c r="K86" s="57" t="s">
        <v>28</v>
      </c>
      <c r="L86" s="19"/>
      <c r="M86" s="6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69">
        <f t="shared" ref="Y86:Y87" si="75">ROUND(G86*3435.59,2)</f>
        <v>11230943.710000001</v>
      </c>
      <c r="Z86" s="19"/>
      <c r="AA86" s="69">
        <v>678650.4</v>
      </c>
      <c r="AB86" s="69">
        <f>ROUND((M86+V86+W86+X86+Y86+Z86)*0.015,2)</f>
        <v>168464.16</v>
      </c>
      <c r="AC86" s="69">
        <f>SUM(N86:AB86)</f>
        <v>12078058.270000001</v>
      </c>
      <c r="AD86" s="19"/>
      <c r="AE86" s="19"/>
      <c r="AF86" s="92">
        <f>AC86-(AD86+AE86)</f>
        <v>12078058.270000001</v>
      </c>
      <c r="AG86" s="57">
        <v>2025</v>
      </c>
      <c r="AH86" s="57">
        <v>2025</v>
      </c>
    </row>
    <row r="87" spans="1:69" ht="109.9" customHeight="1" x14ac:dyDescent="0.35">
      <c r="A87" s="57">
        <v>70</v>
      </c>
      <c r="B87" s="68" t="s">
        <v>25</v>
      </c>
      <c r="C87" s="57" t="s">
        <v>168</v>
      </c>
      <c r="D87" s="57">
        <v>1966</v>
      </c>
      <c r="E87" s="57">
        <v>5</v>
      </c>
      <c r="F87" s="56">
        <v>6253.8</v>
      </c>
      <c r="G87" s="56">
        <v>5873.3</v>
      </c>
      <c r="H87" s="56" t="s">
        <v>49</v>
      </c>
      <c r="I87" s="57" t="s">
        <v>50</v>
      </c>
      <c r="J87" s="57" t="s">
        <v>27</v>
      </c>
      <c r="K87" s="57" t="s">
        <v>28</v>
      </c>
      <c r="L87" s="19"/>
      <c r="M87" s="6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69">
        <f t="shared" si="75"/>
        <v>20178250.75</v>
      </c>
      <c r="Z87" s="19"/>
      <c r="AA87" s="69">
        <v>854008.8</v>
      </c>
      <c r="AB87" s="69">
        <f>ROUND((M87+V87+W87+X87+Y87+Z87)*0.015,2)</f>
        <v>302673.76</v>
      </c>
      <c r="AC87" s="69">
        <f>SUM(N87:AB87)</f>
        <v>21334933.310000002</v>
      </c>
      <c r="AD87" s="19"/>
      <c r="AE87" s="19"/>
      <c r="AF87" s="92">
        <f>AC87-(AD87+AE87)</f>
        <v>21334933.310000002</v>
      </c>
      <c r="AG87" s="57">
        <v>2025</v>
      </c>
      <c r="AH87" s="57">
        <v>2025</v>
      </c>
    </row>
    <row r="88" spans="1:69" ht="109.9" customHeight="1" x14ac:dyDescent="0.35">
      <c r="A88" s="57">
        <v>71</v>
      </c>
      <c r="B88" s="68" t="s">
        <v>25</v>
      </c>
      <c r="C88" s="57" t="s">
        <v>190</v>
      </c>
      <c r="D88" s="57">
        <v>1959</v>
      </c>
      <c r="E88" s="57">
        <v>4</v>
      </c>
      <c r="F88" s="56">
        <v>1436.7</v>
      </c>
      <c r="G88" s="56">
        <v>1320.7</v>
      </c>
      <c r="H88" s="56">
        <v>985.3</v>
      </c>
      <c r="I88" s="57">
        <v>21</v>
      </c>
      <c r="J88" s="57" t="s">
        <v>27</v>
      </c>
      <c r="K88" s="57" t="s">
        <v>28</v>
      </c>
      <c r="L88" s="19"/>
      <c r="M88" s="69"/>
      <c r="N88" s="19"/>
      <c r="O88" s="19"/>
      <c r="P88" s="19"/>
      <c r="Q88" s="19"/>
      <c r="R88" s="19"/>
      <c r="S88" s="19"/>
      <c r="T88" s="19"/>
      <c r="U88" s="19"/>
      <c r="V88" s="19"/>
      <c r="W88" s="69">
        <f>ROUND(G88*5975.33,2)</f>
        <v>7891618.3300000001</v>
      </c>
      <c r="X88" s="19"/>
      <c r="Y88" s="19"/>
      <c r="Z88" s="19"/>
      <c r="AA88" s="69">
        <v>732859.2</v>
      </c>
      <c r="AB88" s="69">
        <f>ROUND((M88+V88+W88+X88+Y88+Z88)*0.015,2)</f>
        <v>118374.27</v>
      </c>
      <c r="AC88" s="69">
        <f>SUM(N88:AB88)</f>
        <v>8742851.7999999989</v>
      </c>
      <c r="AD88" s="19"/>
      <c r="AE88" s="19"/>
      <c r="AF88" s="92">
        <f>AC88-(AD88+AE88)</f>
        <v>8742851.7999999989</v>
      </c>
      <c r="AG88" s="57">
        <v>2025</v>
      </c>
      <c r="AH88" s="57">
        <v>2025</v>
      </c>
    </row>
    <row r="89" spans="1:69" ht="109.9" customHeight="1" x14ac:dyDescent="0.35">
      <c r="A89" s="57">
        <v>72</v>
      </c>
      <c r="B89" s="68" t="s">
        <v>25</v>
      </c>
      <c r="C89" s="57" t="s">
        <v>189</v>
      </c>
      <c r="D89" s="57">
        <v>1973</v>
      </c>
      <c r="E89" s="57">
        <v>5</v>
      </c>
      <c r="F89" s="56">
        <v>4163.2</v>
      </c>
      <c r="G89" s="56">
        <v>3839.4</v>
      </c>
      <c r="H89" s="56" t="s">
        <v>42</v>
      </c>
      <c r="I89" s="57">
        <v>163</v>
      </c>
      <c r="J89" s="57" t="s">
        <v>39</v>
      </c>
      <c r="K89" s="57" t="s">
        <v>28</v>
      </c>
      <c r="L89" s="19"/>
      <c r="M89" s="6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69">
        <f>ROUND(G89*706.71,2)</f>
        <v>2713342.37</v>
      </c>
      <c r="Y89" s="69">
        <f>ROUND(G89*3435.59,2)</f>
        <v>13190604.25</v>
      </c>
      <c r="Z89" s="69">
        <f>ROUND(G89*1135.41,2)</f>
        <v>4359293.1500000004</v>
      </c>
      <c r="AA89" s="69">
        <v>1471219.2</v>
      </c>
      <c r="AB89" s="69">
        <f t="shared" si="67"/>
        <v>303948.59999999998</v>
      </c>
      <c r="AC89" s="69">
        <f t="shared" si="68"/>
        <v>22038407.570000004</v>
      </c>
      <c r="AD89" s="19"/>
      <c r="AE89" s="19"/>
      <c r="AF89" s="92">
        <f t="shared" si="69"/>
        <v>22038407.570000004</v>
      </c>
      <c r="AG89" s="57">
        <v>2025</v>
      </c>
      <c r="AH89" s="57">
        <v>2025</v>
      </c>
      <c r="AI89" s="140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2"/>
      <c r="BF89" s="12"/>
      <c r="BG89" s="12"/>
      <c r="BH89" s="12"/>
      <c r="BI89" s="12"/>
      <c r="BJ89" s="84"/>
      <c r="BK89" s="77"/>
      <c r="BL89" s="77"/>
      <c r="BM89" s="77"/>
      <c r="BN89" s="77"/>
      <c r="BO89" s="11"/>
      <c r="BP89" s="11"/>
      <c r="BQ89" s="11"/>
    </row>
    <row r="90" spans="1:69" ht="109.9" customHeight="1" x14ac:dyDescent="0.35">
      <c r="A90" s="57">
        <v>73</v>
      </c>
      <c r="B90" s="68" t="s">
        <v>25</v>
      </c>
      <c r="C90" s="57" t="s">
        <v>188</v>
      </c>
      <c r="D90" s="57">
        <v>1975</v>
      </c>
      <c r="E90" s="57">
        <v>5</v>
      </c>
      <c r="F90" s="56">
        <v>5577.6</v>
      </c>
      <c r="G90" s="56">
        <v>5178.1000000000004</v>
      </c>
      <c r="H90" s="56" t="s">
        <v>43</v>
      </c>
      <c r="I90" s="57">
        <v>209</v>
      </c>
      <c r="J90" s="57" t="s">
        <v>27</v>
      </c>
      <c r="K90" s="57" t="s">
        <v>28</v>
      </c>
      <c r="L90" s="19"/>
      <c r="M90" s="6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69">
        <f>ROUND(G90*706.71,2)</f>
        <v>3659415.05</v>
      </c>
      <c r="Y90" s="69">
        <f>ROUND(G90*3435.59,2)</f>
        <v>17789828.579999998</v>
      </c>
      <c r="Z90" s="69">
        <f>ROUND(G90*1135.41,2)</f>
        <v>5879266.5199999996</v>
      </c>
      <c r="AA90" s="69">
        <v>1626180</v>
      </c>
      <c r="AB90" s="69">
        <f t="shared" si="67"/>
        <v>409927.65</v>
      </c>
      <c r="AC90" s="69">
        <f t="shared" si="68"/>
        <v>29364617.799999997</v>
      </c>
      <c r="AD90" s="19"/>
      <c r="AE90" s="19"/>
      <c r="AF90" s="92">
        <f t="shared" si="69"/>
        <v>29364617.799999997</v>
      </c>
      <c r="AG90" s="57">
        <v>2025</v>
      </c>
      <c r="AH90" s="57">
        <v>2025</v>
      </c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84"/>
      <c r="BK90" s="77"/>
      <c r="BL90" s="77"/>
      <c r="BM90" s="77"/>
      <c r="BN90" s="77"/>
      <c r="BO90" s="11"/>
      <c r="BP90" s="11"/>
      <c r="BQ90" s="11"/>
    </row>
    <row r="91" spans="1:69" ht="109.9" customHeight="1" x14ac:dyDescent="0.35">
      <c r="A91" s="57">
        <v>74</v>
      </c>
      <c r="B91" s="68" t="s">
        <v>25</v>
      </c>
      <c r="C91" s="57" t="s">
        <v>187</v>
      </c>
      <c r="D91" s="57">
        <v>1971</v>
      </c>
      <c r="E91" s="57">
        <v>5</v>
      </c>
      <c r="F91" s="56">
        <v>5133.5</v>
      </c>
      <c r="G91" s="56">
        <v>4721.8</v>
      </c>
      <c r="H91" s="56">
        <v>3044.1</v>
      </c>
      <c r="I91" s="57">
        <v>188</v>
      </c>
      <c r="J91" s="57" t="s">
        <v>27</v>
      </c>
      <c r="K91" s="57" t="s">
        <v>28</v>
      </c>
      <c r="L91" s="19"/>
      <c r="M91" s="6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69">
        <f>ROUND(G91*3435.59,2)</f>
        <v>16222168.859999999</v>
      </c>
      <c r="Z91" s="19"/>
      <c r="AA91" s="69">
        <v>1018082.4</v>
      </c>
      <c r="AB91" s="69">
        <f t="shared" si="67"/>
        <v>243332.53</v>
      </c>
      <c r="AC91" s="69">
        <f t="shared" si="68"/>
        <v>17483583.789999999</v>
      </c>
      <c r="AD91" s="19"/>
      <c r="AE91" s="19"/>
      <c r="AF91" s="92">
        <f t="shared" si="69"/>
        <v>17483583.789999999</v>
      </c>
      <c r="AG91" s="57">
        <v>2025</v>
      </c>
      <c r="AH91" s="57">
        <v>2025</v>
      </c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2"/>
      <c r="BD91" s="12"/>
      <c r="BE91" s="12"/>
      <c r="BF91" s="12"/>
      <c r="BG91" s="12"/>
      <c r="BH91" s="12"/>
      <c r="BI91" s="12"/>
      <c r="BJ91" s="84"/>
      <c r="BK91" s="77"/>
      <c r="BL91" s="77"/>
      <c r="BM91" s="77"/>
      <c r="BN91" s="77"/>
      <c r="BO91" s="13"/>
      <c r="BP91" s="13"/>
      <c r="BQ91" s="13"/>
    </row>
    <row r="92" spans="1:69" ht="109.9" customHeight="1" x14ac:dyDescent="0.35">
      <c r="A92" s="57">
        <v>75</v>
      </c>
      <c r="B92" s="68" t="s">
        <v>25</v>
      </c>
      <c r="C92" s="57" t="s">
        <v>186</v>
      </c>
      <c r="D92" s="57">
        <v>1960</v>
      </c>
      <c r="E92" s="57">
        <v>4</v>
      </c>
      <c r="F92" s="56">
        <v>1422.6</v>
      </c>
      <c r="G92" s="56">
        <v>1308.7</v>
      </c>
      <c r="H92" s="56">
        <v>672.6</v>
      </c>
      <c r="I92" s="57" t="s">
        <v>26</v>
      </c>
      <c r="J92" s="57" t="s">
        <v>27</v>
      </c>
      <c r="K92" s="57" t="s">
        <v>28</v>
      </c>
      <c r="L92" s="19"/>
      <c r="M92" s="69"/>
      <c r="N92" s="19"/>
      <c r="O92" s="19"/>
      <c r="P92" s="19"/>
      <c r="Q92" s="19"/>
      <c r="R92" s="19"/>
      <c r="S92" s="19"/>
      <c r="T92" s="19"/>
      <c r="U92" s="19"/>
      <c r="V92" s="19"/>
      <c r="W92" s="69">
        <f>ROUND(G92*5975.33,2)</f>
        <v>7819914.3700000001</v>
      </c>
      <c r="X92" s="19"/>
      <c r="Y92" s="19"/>
      <c r="Z92" s="19"/>
      <c r="AA92" s="69">
        <v>734811.6</v>
      </c>
      <c r="AB92" s="69">
        <f>ROUND((M92+V92+W92+X92+Y92+Z92)*0.015,2)</f>
        <v>117298.72</v>
      </c>
      <c r="AC92" s="69">
        <f>SUM(N92:AB92)</f>
        <v>8672024.6900000013</v>
      </c>
      <c r="AD92" s="19"/>
      <c r="AE92" s="19"/>
      <c r="AF92" s="92">
        <f>AC92-(AD92+AE92)</f>
        <v>8672024.6900000013</v>
      </c>
      <c r="AG92" s="57">
        <v>2025</v>
      </c>
      <c r="AH92" s="57">
        <v>2025</v>
      </c>
    </row>
    <row r="93" spans="1:69" ht="109.9" customHeight="1" x14ac:dyDescent="0.35">
      <c r="A93" s="57">
        <v>76</v>
      </c>
      <c r="B93" s="68" t="s">
        <v>25</v>
      </c>
      <c r="C93" s="57" t="s">
        <v>169</v>
      </c>
      <c r="D93" s="57">
        <v>1955</v>
      </c>
      <c r="E93" s="57">
        <v>4</v>
      </c>
      <c r="F93" s="56">
        <v>1560.5</v>
      </c>
      <c r="G93" s="56">
        <v>1247.0999999999999</v>
      </c>
      <c r="H93" s="56">
        <v>829.4</v>
      </c>
      <c r="I93" s="57">
        <v>66</v>
      </c>
      <c r="J93" s="57" t="s">
        <v>29</v>
      </c>
      <c r="K93" s="57" t="s">
        <v>28</v>
      </c>
      <c r="L93" s="19"/>
      <c r="M93" s="69">
        <f>SUM(N93:U93)</f>
        <v>8910878.6999999993</v>
      </c>
      <c r="N93" s="69">
        <f>ROUND(G93*616.25,2)</f>
        <v>768525.38</v>
      </c>
      <c r="O93" s="69">
        <f>ROUND(G93*4857.9,2)</f>
        <v>6058287.0899999999</v>
      </c>
      <c r="P93" s="69"/>
      <c r="Q93" s="69">
        <v>743745.5</v>
      </c>
      <c r="R93" s="69"/>
      <c r="S93" s="69"/>
      <c r="T93" s="69">
        <f t="shared" ref="T93" si="76">ROUND(G93*1074.75,2)</f>
        <v>1340320.73</v>
      </c>
      <c r="U93" s="19"/>
      <c r="V93" s="19"/>
      <c r="W93" s="19"/>
      <c r="X93" s="19"/>
      <c r="Y93" s="19"/>
      <c r="Z93" s="19"/>
      <c r="AA93" s="69">
        <v>613752</v>
      </c>
      <c r="AB93" s="69">
        <f>ROUND((M93+V93+W93+X93+Y93+Z93)*0.015,2)</f>
        <v>133663.18</v>
      </c>
      <c r="AC93" s="69">
        <f>SUM(N93:AB93)</f>
        <v>9658293.879999999</v>
      </c>
      <c r="AD93" s="19"/>
      <c r="AE93" s="19"/>
      <c r="AF93" s="92">
        <f>AC93-(AD93+AE93)</f>
        <v>9658293.879999999</v>
      </c>
      <c r="AG93" s="57">
        <v>2025</v>
      </c>
      <c r="AH93" s="57">
        <v>2025</v>
      </c>
    </row>
    <row r="94" spans="1:69" ht="109.9" customHeight="1" x14ac:dyDescent="0.35">
      <c r="A94" s="57">
        <v>77</v>
      </c>
      <c r="B94" s="68" t="s">
        <v>25</v>
      </c>
      <c r="C94" s="57" t="s">
        <v>170</v>
      </c>
      <c r="D94" s="57">
        <v>1958</v>
      </c>
      <c r="E94" s="57">
        <v>5</v>
      </c>
      <c r="F94" s="56">
        <v>5120.1000000000004</v>
      </c>
      <c r="G94" s="56">
        <v>5120.1000000000004</v>
      </c>
      <c r="H94" s="56">
        <v>4791</v>
      </c>
      <c r="I94" s="57">
        <v>217</v>
      </c>
      <c r="J94" s="57" t="s">
        <v>27</v>
      </c>
      <c r="K94" s="57" t="s">
        <v>28</v>
      </c>
      <c r="L94" s="19"/>
      <c r="M94" s="69"/>
      <c r="N94" s="69"/>
      <c r="O94" s="19"/>
      <c r="P94" s="19"/>
      <c r="Q94" s="19"/>
      <c r="R94" s="19"/>
      <c r="S94" s="19"/>
      <c r="T94" s="19"/>
      <c r="U94" s="19"/>
      <c r="V94" s="19"/>
      <c r="W94" s="69">
        <f>ROUND(G94*3855.19,2)</f>
        <v>19738958.32</v>
      </c>
      <c r="X94" s="19"/>
      <c r="Y94" s="19"/>
      <c r="Z94" s="19"/>
      <c r="AA94" s="69">
        <v>1346138.4</v>
      </c>
      <c r="AB94" s="69">
        <f>ROUND((M94+V94+W94+X94+Y94+Z94)*0.015,2)</f>
        <v>296084.37</v>
      </c>
      <c r="AC94" s="69">
        <f>SUM(N94:AB94)</f>
        <v>21381181.09</v>
      </c>
      <c r="AD94" s="19"/>
      <c r="AE94" s="19"/>
      <c r="AF94" s="92">
        <f>AC94-(AD94+AE94)</f>
        <v>21381181.09</v>
      </c>
      <c r="AG94" s="57">
        <v>2025</v>
      </c>
      <c r="AH94" s="57">
        <v>2025</v>
      </c>
    </row>
    <row r="95" spans="1:69" ht="109.9" customHeight="1" x14ac:dyDescent="0.35">
      <c r="A95" s="57">
        <v>78</v>
      </c>
      <c r="B95" s="68" t="s">
        <v>25</v>
      </c>
      <c r="C95" s="57" t="s">
        <v>171</v>
      </c>
      <c r="D95" s="57">
        <v>1953</v>
      </c>
      <c r="E95" s="57">
        <v>4</v>
      </c>
      <c r="F95" s="56">
        <v>1615.1</v>
      </c>
      <c r="G95" s="56">
        <v>1235.5999999999999</v>
      </c>
      <c r="H95" s="56">
        <v>1023.6</v>
      </c>
      <c r="I95" s="57">
        <v>92</v>
      </c>
      <c r="J95" s="57" t="s">
        <v>29</v>
      </c>
      <c r="K95" s="57" t="s">
        <v>28</v>
      </c>
      <c r="L95" s="19"/>
      <c r="M95" s="69">
        <f t="shared" si="73"/>
        <v>6763859.7400000002</v>
      </c>
      <c r="N95" s="69">
        <f>ROUND(G95*616.25,2)</f>
        <v>761438.5</v>
      </c>
      <c r="O95" s="69">
        <f>ROUND(G95*4857.9,2)</f>
        <v>6002421.2400000002</v>
      </c>
      <c r="P95" s="69"/>
      <c r="Q95" s="19"/>
      <c r="R95" s="19"/>
      <c r="S95" s="19"/>
      <c r="T95" s="19"/>
      <c r="U95" s="19"/>
      <c r="V95" s="19"/>
      <c r="W95" s="19"/>
      <c r="X95" s="19"/>
      <c r="Y95" s="19">
        <v>4747508.8099999996</v>
      </c>
      <c r="Z95" s="19">
        <v>1402912.6</v>
      </c>
      <c r="AA95" s="69">
        <f>614088+850110</f>
        <v>1464198</v>
      </c>
      <c r="AB95" s="69">
        <f t="shared" si="67"/>
        <v>193714.22</v>
      </c>
      <c r="AC95" s="69">
        <f t="shared" si="68"/>
        <v>14572193.370000001</v>
      </c>
      <c r="AD95" s="19"/>
      <c r="AE95" s="19"/>
      <c r="AF95" s="92">
        <f t="shared" si="69"/>
        <v>14572193.370000001</v>
      </c>
      <c r="AG95" s="57">
        <v>2025</v>
      </c>
      <c r="AH95" s="57">
        <v>2025</v>
      </c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82"/>
      <c r="AT95" s="83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84"/>
      <c r="BK95" s="77"/>
      <c r="BL95" s="77"/>
      <c r="BM95" s="77"/>
      <c r="BN95" s="77"/>
      <c r="BO95" s="13"/>
      <c r="BP95" s="13"/>
      <c r="BQ95" s="13"/>
    </row>
    <row r="96" spans="1:69" ht="109.9" customHeight="1" x14ac:dyDescent="0.35">
      <c r="A96" s="57">
        <v>79</v>
      </c>
      <c r="B96" s="68" t="s">
        <v>25</v>
      </c>
      <c r="C96" s="57" t="s">
        <v>172</v>
      </c>
      <c r="D96" s="57">
        <v>1952</v>
      </c>
      <c r="E96" s="57">
        <v>4</v>
      </c>
      <c r="F96" s="56">
        <v>2206.6999999999998</v>
      </c>
      <c r="G96" s="56">
        <v>1990.8</v>
      </c>
      <c r="H96" s="56" t="s">
        <v>44</v>
      </c>
      <c r="I96" s="57">
        <v>68</v>
      </c>
      <c r="J96" s="57" t="s">
        <v>27</v>
      </c>
      <c r="K96" s="57" t="s">
        <v>28</v>
      </c>
      <c r="L96" s="19"/>
      <c r="M96" s="69">
        <f t="shared" si="73"/>
        <v>15399156.52</v>
      </c>
      <c r="N96" s="69">
        <f>ROUND(G96*616.25,2)</f>
        <v>1226830.5</v>
      </c>
      <c r="O96" s="69">
        <f>ROUND(G96*4857.9,2)</f>
        <v>9671107.3200000003</v>
      </c>
      <c r="P96" s="69"/>
      <c r="Q96" s="69">
        <f>ROUND(G96*596.38,2)</f>
        <v>1187273.3</v>
      </c>
      <c r="R96" s="69">
        <f>ROUND(G96*589.88,2)</f>
        <v>1174333.1000000001</v>
      </c>
      <c r="S96" s="69"/>
      <c r="T96" s="69">
        <f>ROUND(G96*1074.75,2)</f>
        <v>2139612.2999999998</v>
      </c>
      <c r="U96" s="19"/>
      <c r="V96" s="19"/>
      <c r="W96" s="19"/>
      <c r="X96" s="19"/>
      <c r="Y96" s="19"/>
      <c r="Z96" s="19"/>
      <c r="AA96" s="69">
        <v>944169.6</v>
      </c>
      <c r="AB96" s="69">
        <f t="shared" si="67"/>
        <v>230987.35</v>
      </c>
      <c r="AC96" s="69">
        <f t="shared" si="68"/>
        <v>16574313.469999999</v>
      </c>
      <c r="AD96" s="19"/>
      <c r="AE96" s="19"/>
      <c r="AF96" s="92">
        <f t="shared" si="69"/>
        <v>16574313.469999999</v>
      </c>
      <c r="AG96" s="57">
        <v>2025</v>
      </c>
      <c r="AH96" s="57">
        <v>2025</v>
      </c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85"/>
      <c r="BK96" s="77"/>
      <c r="BL96" s="77"/>
      <c r="BM96" s="77"/>
      <c r="BN96" s="77"/>
      <c r="BO96" s="13"/>
      <c r="BP96" s="13"/>
      <c r="BQ96" s="13"/>
    </row>
    <row r="97" spans="1:69" ht="109.9" customHeight="1" x14ac:dyDescent="0.35">
      <c r="A97" s="57">
        <v>80</v>
      </c>
      <c r="B97" s="68" t="s">
        <v>206</v>
      </c>
      <c r="C97" s="57" t="s">
        <v>173</v>
      </c>
      <c r="D97" s="57">
        <v>1957</v>
      </c>
      <c r="E97" s="57">
        <v>4</v>
      </c>
      <c r="F97" s="56">
        <v>5401.2</v>
      </c>
      <c r="G97" s="56">
        <v>5007.3999999999996</v>
      </c>
      <c r="H97" s="56">
        <v>3075.4</v>
      </c>
      <c r="I97" s="57">
        <v>101</v>
      </c>
      <c r="J97" s="57" t="s">
        <v>27</v>
      </c>
      <c r="K97" s="57" t="s">
        <v>28</v>
      </c>
      <c r="L97" s="19"/>
      <c r="M97" s="69"/>
      <c r="N97" s="69"/>
      <c r="O97" s="69"/>
      <c r="P97" s="69"/>
      <c r="Q97" s="69"/>
      <c r="R97" s="69"/>
      <c r="S97" s="69"/>
      <c r="T97" s="69"/>
      <c r="U97" s="19"/>
      <c r="V97" s="19"/>
      <c r="W97" s="19"/>
      <c r="X97" s="19"/>
      <c r="Y97" s="69">
        <f>ROUND(G97*3435.59,2)</f>
        <v>17203373.370000001</v>
      </c>
      <c r="Z97" s="69">
        <f>ROUND(G97*1135.41,2)</f>
        <v>5685452.0300000003</v>
      </c>
      <c r="AA97" s="69">
        <v>1422879.6</v>
      </c>
      <c r="AB97" s="69">
        <f>ROUND((M97+V97+W97+X97+Y97+Z97)*0.015,2)</f>
        <v>343332.38</v>
      </c>
      <c r="AC97" s="69">
        <f>SUM(N97:AB97)</f>
        <v>24655037.380000003</v>
      </c>
      <c r="AD97" s="19"/>
      <c r="AE97" s="19"/>
      <c r="AF97" s="92">
        <f>AC97-(AD97+AE97)</f>
        <v>24655037.380000003</v>
      </c>
      <c r="AG97" s="57">
        <v>2025</v>
      </c>
      <c r="AH97" s="57">
        <v>2025</v>
      </c>
    </row>
    <row r="98" spans="1:69" ht="109.9" customHeight="1" x14ac:dyDescent="0.35">
      <c r="A98" s="57">
        <v>81</v>
      </c>
      <c r="B98" s="68" t="s">
        <v>206</v>
      </c>
      <c r="C98" s="57" t="s">
        <v>174</v>
      </c>
      <c r="D98" s="57">
        <v>1959</v>
      </c>
      <c r="E98" s="57">
        <v>4</v>
      </c>
      <c r="F98" s="56">
        <v>3011.8</v>
      </c>
      <c r="G98" s="56">
        <v>2749.1</v>
      </c>
      <c r="H98" s="56">
        <v>2749.1</v>
      </c>
      <c r="I98" s="57">
        <v>118</v>
      </c>
      <c r="J98" s="57" t="s">
        <v>27</v>
      </c>
      <c r="K98" s="57" t="s">
        <v>28</v>
      </c>
      <c r="L98" s="19"/>
      <c r="M98" s="6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69">
        <f>ROUND(G98*3170.13,2)</f>
        <v>8715004.3800000008</v>
      </c>
      <c r="Z98" s="69">
        <f>ROUND(G98*1135.41,2)</f>
        <v>3121355.63</v>
      </c>
      <c r="AA98" s="69">
        <v>1024922.4</v>
      </c>
      <c r="AB98" s="69">
        <f>ROUND((M98+V98+W98+X98+Y98+Z98)*0.015,2)</f>
        <v>177545.4</v>
      </c>
      <c r="AC98" s="69">
        <f>SUM(N98:AB98)</f>
        <v>13038827.810000002</v>
      </c>
      <c r="AD98" s="19"/>
      <c r="AE98" s="19"/>
      <c r="AF98" s="92">
        <f>AC98-(AD98+AE98)</f>
        <v>13038827.810000002</v>
      </c>
      <c r="AG98" s="57">
        <v>2025</v>
      </c>
      <c r="AH98" s="57">
        <v>2025</v>
      </c>
    </row>
    <row r="99" spans="1:69" ht="109.9" customHeight="1" x14ac:dyDescent="0.35">
      <c r="A99" s="57">
        <v>82</v>
      </c>
      <c r="B99" s="68" t="s">
        <v>25</v>
      </c>
      <c r="C99" s="57" t="s">
        <v>175</v>
      </c>
      <c r="D99" s="57">
        <v>1952</v>
      </c>
      <c r="E99" s="57">
        <v>4</v>
      </c>
      <c r="F99" s="56">
        <v>1812.7</v>
      </c>
      <c r="G99" s="56">
        <v>1812.7</v>
      </c>
      <c r="H99" s="56" t="s">
        <v>26</v>
      </c>
      <c r="I99" s="57" t="s">
        <v>26</v>
      </c>
      <c r="J99" s="57" t="s">
        <v>27</v>
      </c>
      <c r="K99" s="57" t="s">
        <v>28</v>
      </c>
      <c r="L99" s="19"/>
      <c r="M99" s="69">
        <f t="shared" si="73"/>
        <v>14021524.550000001</v>
      </c>
      <c r="N99" s="69">
        <f>ROUND(G99*616.25,2)</f>
        <v>1117076.3799999999</v>
      </c>
      <c r="O99" s="69">
        <f>ROUND(G99*4857.9,2)</f>
        <v>8805915.3300000001</v>
      </c>
      <c r="P99" s="69"/>
      <c r="Q99" s="69">
        <f>ROUND(G99*596.38,2)</f>
        <v>1081058.03</v>
      </c>
      <c r="R99" s="69">
        <f>ROUND(G99*589.88,2)</f>
        <v>1069275.48</v>
      </c>
      <c r="S99" s="69"/>
      <c r="T99" s="69">
        <f>ROUND(G99*1074.75,2)</f>
        <v>1948199.33</v>
      </c>
      <c r="U99" s="69"/>
      <c r="V99" s="19"/>
      <c r="W99" s="19"/>
      <c r="X99" s="19"/>
      <c r="Y99" s="19"/>
      <c r="Z99" s="19"/>
      <c r="AA99" s="69">
        <v>817208.4</v>
      </c>
      <c r="AB99" s="69">
        <f t="shared" si="67"/>
        <v>210322.87</v>
      </c>
      <c r="AC99" s="69">
        <f t="shared" si="68"/>
        <v>15049055.82</v>
      </c>
      <c r="AD99" s="19"/>
      <c r="AE99" s="19"/>
      <c r="AF99" s="92">
        <f t="shared" si="69"/>
        <v>15049055.82</v>
      </c>
      <c r="AG99" s="57">
        <v>2025</v>
      </c>
      <c r="AH99" s="57">
        <v>2025</v>
      </c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85"/>
      <c r="BK99" s="77"/>
      <c r="BL99" s="77"/>
      <c r="BM99" s="77"/>
      <c r="BN99" s="77"/>
      <c r="BO99" s="13"/>
      <c r="BP99" s="13"/>
      <c r="BQ99" s="13"/>
    </row>
    <row r="100" spans="1:69" ht="109.9" customHeight="1" x14ac:dyDescent="0.35">
      <c r="A100" s="57">
        <v>83</v>
      </c>
      <c r="B100" s="68" t="s">
        <v>25</v>
      </c>
      <c r="C100" s="57" t="s">
        <v>176</v>
      </c>
      <c r="D100" s="57">
        <v>1960</v>
      </c>
      <c r="E100" s="57">
        <v>5</v>
      </c>
      <c r="F100" s="56">
        <v>4660.2</v>
      </c>
      <c r="G100" s="56">
        <v>4660.2</v>
      </c>
      <c r="H100" s="56">
        <v>2604.4</v>
      </c>
      <c r="I100" s="57">
        <v>107</v>
      </c>
      <c r="J100" s="57" t="s">
        <v>27</v>
      </c>
      <c r="K100" s="57" t="s">
        <v>28</v>
      </c>
      <c r="L100" s="19"/>
      <c r="M100" s="69"/>
      <c r="N100" s="19"/>
      <c r="O100" s="19"/>
      <c r="P100" s="19"/>
      <c r="Q100" s="19"/>
      <c r="R100" s="19"/>
      <c r="S100" s="19"/>
      <c r="T100" s="19"/>
      <c r="U100" s="19"/>
      <c r="V100" s="19"/>
      <c r="W100" s="69">
        <f>ROUND(G100*3855.19,2)</f>
        <v>17965956.440000001</v>
      </c>
      <c r="X100" s="19"/>
      <c r="Y100" s="19"/>
      <c r="Z100" s="19"/>
      <c r="AA100" s="69">
        <v>1229403.6000000001</v>
      </c>
      <c r="AB100" s="69">
        <f>ROUND((M100+V100+W100+X100+Y100+Z100)*0.015,2)</f>
        <v>269489.34999999998</v>
      </c>
      <c r="AC100" s="69">
        <f>SUM(N100:AB100)</f>
        <v>19464849.390000004</v>
      </c>
      <c r="AD100" s="19"/>
      <c r="AE100" s="19"/>
      <c r="AF100" s="92">
        <f>AC100-(AD100+AE100)</f>
        <v>19464849.390000004</v>
      </c>
      <c r="AG100" s="57">
        <v>2025</v>
      </c>
      <c r="AH100" s="57">
        <v>2025</v>
      </c>
    </row>
    <row r="101" spans="1:69" ht="109.9" customHeight="1" x14ac:dyDescent="0.35">
      <c r="A101" s="57">
        <v>84</v>
      </c>
      <c r="B101" s="68" t="s">
        <v>25</v>
      </c>
      <c r="C101" s="57" t="s">
        <v>177</v>
      </c>
      <c r="D101" s="57">
        <v>1958</v>
      </c>
      <c r="E101" s="57">
        <v>4</v>
      </c>
      <c r="F101" s="56">
        <v>1754.6</v>
      </c>
      <c r="G101" s="56">
        <v>1754.6</v>
      </c>
      <c r="H101" s="56">
        <v>1299.8</v>
      </c>
      <c r="I101" s="57">
        <v>43</v>
      </c>
      <c r="J101" s="57" t="s">
        <v>27</v>
      </c>
      <c r="K101" s="57" t="s">
        <v>28</v>
      </c>
      <c r="L101" s="19"/>
      <c r="M101" s="69"/>
      <c r="N101" s="19"/>
      <c r="O101" s="19"/>
      <c r="P101" s="19"/>
      <c r="Q101" s="19"/>
      <c r="R101" s="19"/>
      <c r="S101" s="19"/>
      <c r="T101" s="19"/>
      <c r="U101" s="19"/>
      <c r="V101" s="19"/>
      <c r="W101" s="69">
        <f>ROUND(G101*5975.33,2)</f>
        <v>10484314.02</v>
      </c>
      <c r="X101" s="19"/>
      <c r="Y101" s="19"/>
      <c r="Z101" s="19"/>
      <c r="AA101" s="69">
        <v>806947.2</v>
      </c>
      <c r="AB101" s="69">
        <f t="shared" si="67"/>
        <v>157264.71</v>
      </c>
      <c r="AC101" s="69">
        <f t="shared" si="68"/>
        <v>11448525.93</v>
      </c>
      <c r="AD101" s="19"/>
      <c r="AE101" s="19"/>
      <c r="AF101" s="92">
        <f t="shared" si="69"/>
        <v>11448525.93</v>
      </c>
      <c r="AG101" s="57">
        <v>2025</v>
      </c>
      <c r="AH101" s="57">
        <v>2025</v>
      </c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82"/>
      <c r="AT101" s="83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84"/>
      <c r="BK101" s="77"/>
      <c r="BL101" s="77"/>
      <c r="BM101" s="77"/>
      <c r="BN101" s="77"/>
      <c r="BO101" s="13"/>
      <c r="BP101" s="13"/>
      <c r="BQ101" s="13"/>
    </row>
    <row r="102" spans="1:69" ht="109.9" customHeight="1" x14ac:dyDescent="0.35">
      <c r="A102" s="57">
        <v>85</v>
      </c>
      <c r="B102" s="68" t="s">
        <v>25</v>
      </c>
      <c r="C102" s="57" t="s">
        <v>178</v>
      </c>
      <c r="D102" s="57">
        <v>1958</v>
      </c>
      <c r="E102" s="57">
        <v>4</v>
      </c>
      <c r="F102" s="56">
        <v>1066.0999999999999</v>
      </c>
      <c r="G102" s="56">
        <v>980.3</v>
      </c>
      <c r="H102" s="56">
        <v>687.9</v>
      </c>
      <c r="I102" s="57">
        <v>22</v>
      </c>
      <c r="J102" s="57" t="s">
        <v>27</v>
      </c>
      <c r="K102" s="89" t="s">
        <v>181</v>
      </c>
      <c r="L102" s="19"/>
      <c r="M102" s="69"/>
      <c r="N102" s="19"/>
      <c r="O102" s="19"/>
      <c r="P102" s="19"/>
      <c r="Q102" s="19"/>
      <c r="R102" s="19"/>
      <c r="S102" s="19"/>
      <c r="T102" s="19"/>
      <c r="U102" s="19"/>
      <c r="V102" s="19"/>
      <c r="W102" s="69">
        <f>ROUND(G102*5222.75,2)</f>
        <v>5119861.83</v>
      </c>
      <c r="X102" s="19"/>
      <c r="Y102" s="19"/>
      <c r="Z102" s="19"/>
      <c r="AA102" s="69">
        <v>708261.6</v>
      </c>
      <c r="AB102" s="69">
        <f t="shared" si="67"/>
        <v>76797.929999999993</v>
      </c>
      <c r="AC102" s="69">
        <f t="shared" si="68"/>
        <v>5904921.3599999994</v>
      </c>
      <c r="AD102" s="19"/>
      <c r="AE102" s="19"/>
      <c r="AF102" s="92">
        <f t="shared" si="69"/>
        <v>5904921.3599999994</v>
      </c>
      <c r="AG102" s="57">
        <v>2025</v>
      </c>
      <c r="AH102" s="57">
        <v>2025</v>
      </c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1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85"/>
      <c r="BK102" s="77"/>
      <c r="BL102" s="77"/>
      <c r="BM102" s="77"/>
      <c r="BN102" s="77"/>
      <c r="BO102" s="13"/>
      <c r="BP102" s="13"/>
      <c r="BQ102" s="13"/>
    </row>
    <row r="103" spans="1:69" ht="109.9" customHeight="1" x14ac:dyDescent="0.35">
      <c r="A103" s="123" t="s">
        <v>179</v>
      </c>
      <c r="B103" s="123"/>
      <c r="C103" s="123"/>
      <c r="D103" s="55"/>
      <c r="E103" s="55"/>
      <c r="F103" s="58">
        <f>SUM(F67:F102)</f>
        <v>124656.20000000003</v>
      </c>
      <c r="G103" s="58">
        <f>SUM(G67:G102)</f>
        <v>113859.70000000003</v>
      </c>
      <c r="H103" s="58"/>
      <c r="I103" s="55"/>
      <c r="J103" s="55"/>
      <c r="K103" s="55"/>
      <c r="L103" s="55"/>
      <c r="M103" s="55">
        <f>SUM(M67:M102)</f>
        <v>138186641.5</v>
      </c>
      <c r="N103" s="55">
        <f>SUM(N67:N102)</f>
        <v>13750509.530000001</v>
      </c>
      <c r="O103" s="55">
        <f>SUM(O67:O102)</f>
        <v>86447108.86999999</v>
      </c>
      <c r="P103" s="20"/>
      <c r="Q103" s="55">
        <f>SUM(Q67:Q102)</f>
        <v>11120732.66</v>
      </c>
      <c r="R103" s="55">
        <f>SUM(R67:R102)</f>
        <v>10773510.73</v>
      </c>
      <c r="S103" s="20"/>
      <c r="T103" s="55">
        <f>SUM(T67:T102)</f>
        <v>15036055.869999999</v>
      </c>
      <c r="U103" s="55">
        <f>SUM(U67:U102)</f>
        <v>1058723.8400000001</v>
      </c>
      <c r="V103" s="20"/>
      <c r="W103" s="55">
        <f t="shared" ref="W103:AC103" si="77">SUM(W67:W102)</f>
        <v>167656072.71000004</v>
      </c>
      <c r="X103" s="55">
        <f t="shared" si="77"/>
        <v>19097395.490000002</v>
      </c>
      <c r="Y103" s="55">
        <f t="shared" si="77"/>
        <v>153935140.07999998</v>
      </c>
      <c r="Z103" s="55">
        <f t="shared" si="77"/>
        <v>30110846.110000003</v>
      </c>
      <c r="AA103" s="55">
        <f t="shared" si="77"/>
        <v>38767244.799999997</v>
      </c>
      <c r="AB103" s="55">
        <f t="shared" si="77"/>
        <v>7634791.4399999985</v>
      </c>
      <c r="AC103" s="20">
        <f t="shared" si="77"/>
        <v>555388132.12999988</v>
      </c>
      <c r="AD103" s="20"/>
      <c r="AE103" s="20"/>
      <c r="AF103" s="20">
        <f>AC103</f>
        <v>555388132.12999988</v>
      </c>
      <c r="AG103" s="55">
        <v>2025</v>
      </c>
      <c r="AH103" s="55">
        <v>2025</v>
      </c>
    </row>
    <row r="104" spans="1:69" s="16" customFormat="1" ht="109.9" customHeight="1" x14ac:dyDescent="0.35">
      <c r="A104" s="135" t="s">
        <v>180</v>
      </c>
      <c r="B104" s="135"/>
      <c r="C104" s="135"/>
      <c r="D104" s="21"/>
      <c r="E104" s="21"/>
      <c r="F104" s="49">
        <f>F103+F65+F43</f>
        <v>323147.7</v>
      </c>
      <c r="G104" s="49">
        <f>G103+G65+G43</f>
        <v>293401.40000000002</v>
      </c>
      <c r="H104" s="49"/>
      <c r="I104" s="21"/>
      <c r="J104" s="21"/>
      <c r="K104" s="21"/>
      <c r="L104" s="21"/>
      <c r="M104" s="22">
        <f>M103+M65+M43</f>
        <v>638658020.85000002</v>
      </c>
      <c r="N104" s="22">
        <f>N103+N65+N43</f>
        <v>71502501.590000004</v>
      </c>
      <c r="O104" s="22">
        <f>O103+O65+O43</f>
        <v>352320618.06000006</v>
      </c>
      <c r="P104" s="22"/>
      <c r="Q104" s="22">
        <f>Q103+Q65+Q43</f>
        <v>62741285.949999996</v>
      </c>
      <c r="R104" s="22">
        <f>R103+R65+R43</f>
        <v>59404329.530000001</v>
      </c>
      <c r="S104" s="22">
        <f>S103+S65+S43</f>
        <v>2394897.56</v>
      </c>
      <c r="T104" s="22">
        <f>T103+T65+T43</f>
        <v>84348081.400000006</v>
      </c>
      <c r="U104" s="22">
        <f>U103+U65+U43</f>
        <v>5946306.7599999998</v>
      </c>
      <c r="V104" s="22"/>
      <c r="W104" s="22">
        <f t="shared" ref="W104:AC104" si="78">W103+W65+W43</f>
        <v>328260540.16000003</v>
      </c>
      <c r="X104" s="22">
        <f t="shared" si="78"/>
        <v>83061819.320000008</v>
      </c>
      <c r="Y104" s="22">
        <f t="shared" si="78"/>
        <v>254691560.03999999</v>
      </c>
      <c r="Z104" s="22">
        <f t="shared" si="78"/>
        <v>95653183.150000006</v>
      </c>
      <c r="AA104" s="22">
        <f t="shared" si="78"/>
        <v>104096010.99999999</v>
      </c>
      <c r="AB104" s="22">
        <f t="shared" si="78"/>
        <v>21004876.830000002</v>
      </c>
      <c r="AC104" s="22">
        <f t="shared" si="78"/>
        <v>1525426011.3499999</v>
      </c>
      <c r="AD104" s="22"/>
      <c r="AE104" s="22"/>
      <c r="AF104" s="22">
        <f>AF103+AF65+AF43</f>
        <v>1525426011.3499999</v>
      </c>
      <c r="AG104" s="21"/>
      <c r="AH104" s="21"/>
    </row>
    <row r="105" spans="1:69" s="16" customFormat="1" ht="109.9" customHeight="1" x14ac:dyDescent="0.35">
      <c r="A105" s="93"/>
      <c r="B105" s="112"/>
      <c r="C105" s="112"/>
      <c r="D105" s="24"/>
      <c r="E105" s="24"/>
      <c r="F105" s="113"/>
      <c r="G105" s="113"/>
      <c r="H105" s="113"/>
      <c r="I105" s="24"/>
      <c r="J105" s="24"/>
      <c r="K105" s="24"/>
      <c r="L105" s="24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</row>
    <row r="106" spans="1:69" s="16" customFormat="1" ht="109.9" customHeight="1" x14ac:dyDescent="0.35">
      <c r="A106" s="112"/>
      <c r="B106" s="112"/>
      <c r="C106" s="112"/>
      <c r="D106" s="24"/>
      <c r="E106" s="24"/>
      <c r="F106" s="113"/>
      <c r="G106" s="113"/>
      <c r="H106" s="113"/>
      <c r="I106" s="24"/>
      <c r="J106" s="24"/>
      <c r="K106" s="24"/>
      <c r="L106" s="24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</row>
    <row r="107" spans="1:69" s="16" customFormat="1" ht="53.25" customHeight="1" x14ac:dyDescent="0.35">
      <c r="A107" s="111"/>
      <c r="B107" s="70"/>
      <c r="C107" s="70"/>
      <c r="D107" s="25"/>
      <c r="E107" s="25"/>
      <c r="F107" s="28"/>
      <c r="G107" s="28"/>
      <c r="H107" s="28"/>
      <c r="I107" s="25"/>
      <c r="J107" s="25"/>
      <c r="K107" s="25"/>
      <c r="L107" s="25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7"/>
      <c r="AE107" s="23"/>
      <c r="AF107" s="23"/>
      <c r="AG107" s="24"/>
      <c r="AH107" s="24"/>
    </row>
    <row r="108" spans="1:69" s="16" customFormat="1" ht="109.5" customHeight="1" x14ac:dyDescent="0.35">
      <c r="A108" s="142" t="s">
        <v>207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4"/>
      <c r="AE108" s="17"/>
      <c r="AF108" s="17"/>
      <c r="AG108" s="18"/>
      <c r="AH108" s="18"/>
    </row>
    <row r="109" spans="1:69" ht="109.9" customHeight="1" x14ac:dyDescent="0.35">
      <c r="A109" s="151" t="s">
        <v>208</v>
      </c>
      <c r="B109" s="152"/>
      <c r="C109" s="153"/>
      <c r="D109" s="151" t="s">
        <v>209</v>
      </c>
      <c r="E109" s="152"/>
      <c r="F109" s="152"/>
      <c r="G109" s="152"/>
      <c r="H109" s="152"/>
      <c r="I109" s="152"/>
      <c r="J109" s="152"/>
      <c r="K109" s="152"/>
      <c r="L109" s="153"/>
      <c r="M109" s="160" t="s">
        <v>51</v>
      </c>
      <c r="N109" s="160"/>
      <c r="O109" s="160"/>
      <c r="P109" s="160"/>
      <c r="Q109" s="160"/>
      <c r="R109" s="160"/>
      <c r="S109" s="160"/>
      <c r="T109" s="160"/>
      <c r="U109" s="160"/>
      <c r="V109" s="162" t="s">
        <v>52</v>
      </c>
      <c r="W109" s="162" t="s">
        <v>95</v>
      </c>
      <c r="X109" s="162" t="s">
        <v>96</v>
      </c>
      <c r="Y109" s="162" t="s">
        <v>92</v>
      </c>
      <c r="Z109" s="162" t="s">
        <v>53</v>
      </c>
      <c r="AA109" s="162" t="s">
        <v>54</v>
      </c>
      <c r="AB109" s="163" t="s">
        <v>97</v>
      </c>
      <c r="AC109" s="162" t="s">
        <v>23</v>
      </c>
      <c r="AD109" s="165" t="s">
        <v>55</v>
      </c>
      <c r="AE109" s="2"/>
      <c r="AF109" s="146"/>
      <c r="AG109" s="59"/>
      <c r="AH109" s="146"/>
      <c r="AI109" s="59"/>
      <c r="AJ109" s="146"/>
      <c r="AK109" s="59"/>
      <c r="AL109" s="146"/>
      <c r="AM109" s="59"/>
      <c r="AN109" s="146"/>
      <c r="AO109" s="146"/>
      <c r="AP109" s="146"/>
      <c r="AQ109" s="146"/>
      <c r="AR109" s="146"/>
      <c r="AS109" s="146"/>
      <c r="AT109" s="146"/>
      <c r="AU109" s="146"/>
    </row>
    <row r="110" spans="1:69" ht="109.9" customHeight="1" x14ac:dyDescent="0.35">
      <c r="A110" s="154"/>
      <c r="B110" s="155"/>
      <c r="C110" s="156"/>
      <c r="D110" s="157"/>
      <c r="E110" s="158"/>
      <c r="F110" s="158"/>
      <c r="G110" s="158"/>
      <c r="H110" s="158"/>
      <c r="I110" s="158"/>
      <c r="J110" s="158"/>
      <c r="K110" s="158"/>
      <c r="L110" s="159"/>
      <c r="M110" s="62" t="s">
        <v>56</v>
      </c>
      <c r="N110" s="63" t="s">
        <v>57</v>
      </c>
      <c r="O110" s="63" t="s">
        <v>58</v>
      </c>
      <c r="P110" s="63" t="s">
        <v>59</v>
      </c>
      <c r="Q110" s="63" t="s">
        <v>60</v>
      </c>
      <c r="R110" s="63" t="s">
        <v>61</v>
      </c>
      <c r="S110" s="63" t="s">
        <v>62</v>
      </c>
      <c r="T110" s="63" t="s">
        <v>63</v>
      </c>
      <c r="U110" s="63" t="s">
        <v>64</v>
      </c>
      <c r="V110" s="162"/>
      <c r="W110" s="162"/>
      <c r="X110" s="162"/>
      <c r="Y110" s="162"/>
      <c r="Z110" s="162"/>
      <c r="AA110" s="162"/>
      <c r="AB110" s="164"/>
      <c r="AC110" s="162"/>
      <c r="AD110" s="166"/>
      <c r="AE110" s="2"/>
      <c r="AF110" s="146"/>
      <c r="AG110" s="59"/>
      <c r="AH110" s="146"/>
      <c r="AI110" s="59"/>
      <c r="AJ110" s="146"/>
      <c r="AK110" s="59"/>
      <c r="AL110" s="146"/>
      <c r="AM110" s="59"/>
      <c r="AN110" s="146"/>
      <c r="AO110" s="146"/>
      <c r="AP110" s="146"/>
      <c r="AQ110" s="146"/>
      <c r="AR110" s="146"/>
      <c r="AS110" s="146"/>
      <c r="AT110" s="146"/>
      <c r="AU110" s="146"/>
    </row>
    <row r="111" spans="1:69" ht="109.9" customHeight="1" x14ac:dyDescent="0.35">
      <c r="A111" s="157"/>
      <c r="B111" s="158"/>
      <c r="C111" s="159"/>
      <c r="D111" s="147">
        <f>F43</f>
        <v>125246.99999999999</v>
      </c>
      <c r="E111" s="148"/>
      <c r="F111" s="148"/>
      <c r="G111" s="148"/>
      <c r="H111" s="148"/>
      <c r="I111" s="148"/>
      <c r="J111" s="148"/>
      <c r="K111" s="148"/>
      <c r="L111" s="149"/>
      <c r="M111" s="3">
        <f>SUM(N111:U111)</f>
        <v>173563215.52000001</v>
      </c>
      <c r="N111" s="3">
        <f>N43</f>
        <v>21536273.649999999</v>
      </c>
      <c r="O111" s="3">
        <f>O43</f>
        <v>96508579.830000013</v>
      </c>
      <c r="P111" s="3"/>
      <c r="Q111" s="3">
        <f>Q43</f>
        <v>15658910.039999999</v>
      </c>
      <c r="R111" s="3">
        <f>R43</f>
        <v>13810003.59</v>
      </c>
      <c r="S111" s="3"/>
      <c r="T111" s="3">
        <f>T43</f>
        <v>22027088.98</v>
      </c>
      <c r="U111" s="3">
        <f>U43</f>
        <v>4022359.4299999997</v>
      </c>
      <c r="V111" s="63"/>
      <c r="W111" s="63">
        <f t="shared" ref="W111:AB111" si="79">W43</f>
        <v>147198815.25999999</v>
      </c>
      <c r="X111" s="3">
        <f t="shared" si="79"/>
        <v>28924850.129999999</v>
      </c>
      <c r="Y111" s="3">
        <f t="shared" si="79"/>
        <v>69748771.530000001</v>
      </c>
      <c r="Z111" s="3">
        <f t="shared" si="79"/>
        <v>32160942.41</v>
      </c>
      <c r="AA111" s="3">
        <f t="shared" si="79"/>
        <v>35248329.599999994</v>
      </c>
      <c r="AB111" s="3">
        <f t="shared" si="79"/>
        <v>6773948.9200000009</v>
      </c>
      <c r="AC111" s="3">
        <f>AB111+AA111+Z111+Y111+X111+W111+V111+M111</f>
        <v>493618873.37</v>
      </c>
      <c r="AD111" s="29" t="s">
        <v>182</v>
      </c>
      <c r="AE111" s="4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150"/>
      <c r="AR111" s="150"/>
      <c r="AS111" s="150"/>
      <c r="AT111" s="150"/>
      <c r="AU111" s="150"/>
    </row>
    <row r="112" spans="1:69" ht="109.9" customHeight="1" x14ac:dyDescent="0.35">
      <c r="A112" s="151" t="s">
        <v>210</v>
      </c>
      <c r="B112" s="152"/>
      <c r="C112" s="153"/>
      <c r="D112" s="151" t="s">
        <v>212</v>
      </c>
      <c r="E112" s="152"/>
      <c r="F112" s="152"/>
      <c r="G112" s="152"/>
      <c r="H112" s="152"/>
      <c r="I112" s="152"/>
      <c r="J112" s="152"/>
      <c r="K112" s="152"/>
      <c r="L112" s="153"/>
      <c r="M112" s="160" t="s">
        <v>51</v>
      </c>
      <c r="N112" s="160"/>
      <c r="O112" s="160"/>
      <c r="P112" s="160"/>
      <c r="Q112" s="160"/>
      <c r="R112" s="160"/>
      <c r="S112" s="160"/>
      <c r="T112" s="160"/>
      <c r="U112" s="161"/>
      <c r="V112" s="162" t="s">
        <v>15</v>
      </c>
      <c r="W112" s="162" t="s">
        <v>102</v>
      </c>
      <c r="X112" s="162" t="s">
        <v>99</v>
      </c>
      <c r="Y112" s="162" t="s">
        <v>92</v>
      </c>
      <c r="Z112" s="162" t="s">
        <v>53</v>
      </c>
      <c r="AA112" s="162" t="s">
        <v>54</v>
      </c>
      <c r="AB112" s="162" t="s">
        <v>106</v>
      </c>
      <c r="AC112" s="162" t="s">
        <v>23</v>
      </c>
      <c r="AD112" s="165" t="s">
        <v>55</v>
      </c>
      <c r="AE112" s="2"/>
      <c r="AF112" s="146"/>
      <c r="AG112" s="59"/>
      <c r="AH112" s="146"/>
      <c r="AI112" s="59"/>
      <c r="AJ112" s="146"/>
      <c r="AK112" s="59"/>
      <c r="AL112" s="146"/>
      <c r="AM112" s="59"/>
      <c r="AN112" s="146"/>
      <c r="AO112" s="146"/>
      <c r="AP112" s="146"/>
      <c r="AQ112" s="146"/>
      <c r="AR112" s="146"/>
      <c r="AS112" s="146"/>
      <c r="AT112" s="146"/>
      <c r="AU112" s="146"/>
    </row>
    <row r="113" spans="1:47" ht="109.9" customHeight="1" x14ac:dyDescent="0.35">
      <c r="A113" s="154"/>
      <c r="B113" s="155"/>
      <c r="C113" s="156"/>
      <c r="D113" s="157"/>
      <c r="E113" s="158"/>
      <c r="F113" s="158"/>
      <c r="G113" s="158"/>
      <c r="H113" s="158"/>
      <c r="I113" s="158"/>
      <c r="J113" s="158"/>
      <c r="K113" s="158"/>
      <c r="L113" s="159"/>
      <c r="M113" s="6" t="s">
        <v>56</v>
      </c>
      <c r="N113" s="63" t="s">
        <v>57</v>
      </c>
      <c r="O113" s="63" t="s">
        <v>58</v>
      </c>
      <c r="P113" s="63" t="s">
        <v>59</v>
      </c>
      <c r="Q113" s="63" t="s">
        <v>60</v>
      </c>
      <c r="R113" s="63" t="s">
        <v>61</v>
      </c>
      <c r="S113" s="63" t="s">
        <v>62</v>
      </c>
      <c r="T113" s="63" t="s">
        <v>63</v>
      </c>
      <c r="U113" s="7" t="s">
        <v>64</v>
      </c>
      <c r="V113" s="162"/>
      <c r="W113" s="162"/>
      <c r="X113" s="162"/>
      <c r="Y113" s="162"/>
      <c r="Z113" s="162"/>
      <c r="AA113" s="162"/>
      <c r="AB113" s="162"/>
      <c r="AC113" s="162"/>
      <c r="AD113" s="166"/>
      <c r="AE113" s="2"/>
      <c r="AF113" s="146"/>
      <c r="AG113" s="59"/>
      <c r="AH113" s="146"/>
      <c r="AI113" s="59"/>
      <c r="AJ113" s="146"/>
      <c r="AK113" s="59"/>
      <c r="AL113" s="146"/>
      <c r="AM113" s="59"/>
      <c r="AN113" s="146"/>
      <c r="AO113" s="146"/>
      <c r="AP113" s="146"/>
      <c r="AQ113" s="146"/>
      <c r="AR113" s="146"/>
      <c r="AS113" s="146"/>
      <c r="AT113" s="146"/>
      <c r="AU113" s="146"/>
    </row>
    <row r="114" spans="1:47" ht="109.9" customHeight="1" x14ac:dyDescent="0.35">
      <c r="A114" s="157"/>
      <c r="B114" s="158"/>
      <c r="C114" s="159"/>
      <c r="D114" s="167">
        <f>F65</f>
        <v>73244.5</v>
      </c>
      <c r="E114" s="148"/>
      <c r="F114" s="148"/>
      <c r="G114" s="148"/>
      <c r="H114" s="148"/>
      <c r="I114" s="148"/>
      <c r="J114" s="148"/>
      <c r="K114" s="148"/>
      <c r="L114" s="149"/>
      <c r="M114" s="8">
        <f>SUM(N114:U114)</f>
        <v>326908163.83000004</v>
      </c>
      <c r="N114" s="8">
        <f>N65</f>
        <v>36215718.409999996</v>
      </c>
      <c r="O114" s="3">
        <f>O65</f>
        <v>169364929.36000001</v>
      </c>
      <c r="P114" s="3"/>
      <c r="Q114" s="8">
        <f>Q65</f>
        <v>35961643.25</v>
      </c>
      <c r="R114" s="8">
        <f>R65</f>
        <v>34820815.210000001</v>
      </c>
      <c r="S114" s="8">
        <f>S65</f>
        <v>2394897.56</v>
      </c>
      <c r="T114" s="8">
        <f>T65</f>
        <v>47284936.550000004</v>
      </c>
      <c r="U114" s="8">
        <f>U65</f>
        <v>865223.49</v>
      </c>
      <c r="V114" s="63"/>
      <c r="W114" s="63">
        <f t="shared" ref="W114:AB114" si="80">W65</f>
        <v>13405652.189999999</v>
      </c>
      <c r="X114" s="3">
        <f t="shared" si="80"/>
        <v>35039573.700000003</v>
      </c>
      <c r="Y114" s="8">
        <f t="shared" si="80"/>
        <v>31007648.43</v>
      </c>
      <c r="Z114" s="8">
        <f t="shared" si="80"/>
        <v>33381394.629999999</v>
      </c>
      <c r="AA114" s="8">
        <f t="shared" si="80"/>
        <v>30080436.599999998</v>
      </c>
      <c r="AB114" s="8">
        <f t="shared" si="80"/>
        <v>6596136.4700000016</v>
      </c>
      <c r="AC114" s="3">
        <f>AB114+AA114+Z114+Y114+X114+W114+V114+M114</f>
        <v>476419005.85000002</v>
      </c>
      <c r="AD114" s="29" t="s">
        <v>183</v>
      </c>
      <c r="AE114" s="9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50"/>
      <c r="AR114" s="150"/>
      <c r="AS114" s="150"/>
      <c r="AT114" s="150"/>
      <c r="AU114" s="150"/>
    </row>
    <row r="115" spans="1:47" ht="109.9" customHeight="1" x14ac:dyDescent="0.35">
      <c r="A115" s="151" t="s">
        <v>211</v>
      </c>
      <c r="B115" s="152"/>
      <c r="C115" s="153"/>
      <c r="D115" s="151" t="s">
        <v>213</v>
      </c>
      <c r="E115" s="152"/>
      <c r="F115" s="152"/>
      <c r="G115" s="152"/>
      <c r="H115" s="152"/>
      <c r="I115" s="152"/>
      <c r="J115" s="152"/>
      <c r="K115" s="152"/>
      <c r="L115" s="153"/>
      <c r="M115" s="160" t="s">
        <v>51</v>
      </c>
      <c r="N115" s="160"/>
      <c r="O115" s="160"/>
      <c r="P115" s="160"/>
      <c r="Q115" s="160"/>
      <c r="R115" s="160"/>
      <c r="S115" s="160"/>
      <c r="T115" s="160"/>
      <c r="U115" s="161"/>
      <c r="V115" s="162" t="s">
        <v>15</v>
      </c>
      <c r="W115" s="162" t="s">
        <v>104</v>
      </c>
      <c r="X115" s="162" t="s">
        <v>103</v>
      </c>
      <c r="Y115" s="162" t="s">
        <v>92</v>
      </c>
      <c r="Z115" s="162" t="s">
        <v>53</v>
      </c>
      <c r="AA115" s="162" t="s">
        <v>54</v>
      </c>
      <c r="AB115" s="162" t="s">
        <v>89</v>
      </c>
      <c r="AC115" s="162" t="s">
        <v>23</v>
      </c>
      <c r="AD115" s="165" t="s">
        <v>55</v>
      </c>
      <c r="AE115" s="2"/>
      <c r="AF115" s="146"/>
      <c r="AG115" s="59"/>
      <c r="AH115" s="146"/>
      <c r="AI115" s="59"/>
      <c r="AJ115" s="146"/>
      <c r="AK115" s="59"/>
      <c r="AL115" s="146"/>
      <c r="AM115" s="59"/>
      <c r="AN115" s="146"/>
      <c r="AO115" s="146"/>
      <c r="AP115" s="146"/>
      <c r="AQ115" s="146"/>
      <c r="AR115" s="146"/>
      <c r="AS115" s="146"/>
      <c r="AT115" s="146"/>
      <c r="AU115" s="146"/>
    </row>
    <row r="116" spans="1:47" ht="109.9" customHeight="1" x14ac:dyDescent="0.35">
      <c r="A116" s="154"/>
      <c r="B116" s="155"/>
      <c r="C116" s="156"/>
      <c r="D116" s="157"/>
      <c r="E116" s="158"/>
      <c r="F116" s="158"/>
      <c r="G116" s="158"/>
      <c r="H116" s="158"/>
      <c r="I116" s="158"/>
      <c r="J116" s="158"/>
      <c r="K116" s="158"/>
      <c r="L116" s="159"/>
      <c r="M116" s="6" t="s">
        <v>56</v>
      </c>
      <c r="N116" s="63" t="s">
        <v>57</v>
      </c>
      <c r="O116" s="63" t="s">
        <v>58</v>
      </c>
      <c r="P116" s="63" t="s">
        <v>59</v>
      </c>
      <c r="Q116" s="63" t="s">
        <v>60</v>
      </c>
      <c r="R116" s="63" t="s">
        <v>61</v>
      </c>
      <c r="S116" s="63" t="s">
        <v>62</v>
      </c>
      <c r="T116" s="63" t="s">
        <v>63</v>
      </c>
      <c r="U116" s="7" t="s">
        <v>64</v>
      </c>
      <c r="V116" s="162"/>
      <c r="W116" s="162"/>
      <c r="X116" s="162"/>
      <c r="Y116" s="162"/>
      <c r="Z116" s="162"/>
      <c r="AA116" s="162"/>
      <c r="AB116" s="162"/>
      <c r="AC116" s="162"/>
      <c r="AD116" s="166"/>
      <c r="AE116" s="2"/>
      <c r="AF116" s="146"/>
      <c r="AG116" s="59"/>
      <c r="AH116" s="146"/>
      <c r="AI116" s="59"/>
      <c r="AJ116" s="146"/>
      <c r="AK116" s="59"/>
      <c r="AL116" s="146"/>
      <c r="AM116" s="59"/>
      <c r="AN116" s="146"/>
      <c r="AO116" s="146"/>
      <c r="AP116" s="146"/>
      <c r="AQ116" s="146"/>
      <c r="AR116" s="146"/>
      <c r="AS116" s="146"/>
      <c r="AT116" s="146"/>
      <c r="AU116" s="146"/>
    </row>
    <row r="117" spans="1:47" ht="109.9" customHeight="1" x14ac:dyDescent="0.35">
      <c r="A117" s="157"/>
      <c r="B117" s="158"/>
      <c r="C117" s="159"/>
      <c r="D117" s="167">
        <f>F103</f>
        <v>124656.20000000003</v>
      </c>
      <c r="E117" s="148"/>
      <c r="F117" s="148"/>
      <c r="G117" s="148"/>
      <c r="H117" s="148"/>
      <c r="I117" s="148"/>
      <c r="J117" s="148"/>
      <c r="K117" s="148"/>
      <c r="L117" s="149"/>
      <c r="M117" s="3">
        <f>SUM(N117:U117)</f>
        <v>138186641.5</v>
      </c>
      <c r="N117" s="3">
        <f t="shared" ref="N117:U117" si="81">N103</f>
        <v>13750509.530000001</v>
      </c>
      <c r="O117" s="3">
        <f t="shared" si="81"/>
        <v>86447108.86999999</v>
      </c>
      <c r="P117" s="3"/>
      <c r="Q117" s="3">
        <f t="shared" si="81"/>
        <v>11120732.66</v>
      </c>
      <c r="R117" s="3">
        <f t="shared" si="81"/>
        <v>10773510.73</v>
      </c>
      <c r="S117" s="3"/>
      <c r="T117" s="3">
        <f t="shared" si="81"/>
        <v>15036055.869999999</v>
      </c>
      <c r="U117" s="3">
        <f t="shared" si="81"/>
        <v>1058723.8400000001</v>
      </c>
      <c r="V117" s="63"/>
      <c r="W117" s="63">
        <f t="shared" ref="W117:AB117" si="82">W103</f>
        <v>167656072.71000004</v>
      </c>
      <c r="X117" s="3">
        <f t="shared" si="82"/>
        <v>19097395.490000002</v>
      </c>
      <c r="Y117" s="3">
        <f t="shared" si="82"/>
        <v>153935140.07999998</v>
      </c>
      <c r="Z117" s="3">
        <f t="shared" si="82"/>
        <v>30110846.110000003</v>
      </c>
      <c r="AA117" s="3">
        <f t="shared" si="82"/>
        <v>38767244.799999997</v>
      </c>
      <c r="AB117" s="3">
        <f t="shared" si="82"/>
        <v>7634791.4399999985</v>
      </c>
      <c r="AC117" s="3">
        <f>AB117+AA117+Z117+Y117+X117+W117+V117+M117</f>
        <v>555388132.13</v>
      </c>
      <c r="AD117" s="29" t="s">
        <v>184</v>
      </c>
      <c r="AE117" s="4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150"/>
      <c r="AR117" s="150"/>
      <c r="AS117" s="150"/>
      <c r="AT117" s="150"/>
      <c r="AU117" s="150"/>
    </row>
    <row r="118" spans="1:47" ht="81.599999999999994" customHeight="1" x14ac:dyDescent="0.9">
      <c r="A118" s="66" t="s">
        <v>65</v>
      </c>
      <c r="B118" s="66"/>
      <c r="C118" s="66"/>
      <c r="D118" s="66"/>
      <c r="E118" s="66"/>
      <c r="F118" s="30"/>
      <c r="G118" s="31"/>
      <c r="H118" s="31"/>
      <c r="I118" s="66"/>
      <c r="J118" s="32"/>
      <c r="K118" s="33"/>
      <c r="L118" s="66"/>
      <c r="M118" s="66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5"/>
      <c r="AO118" s="66"/>
      <c r="AP118" s="66"/>
      <c r="AQ118" s="66"/>
      <c r="AR118" s="66"/>
      <c r="AS118" s="11"/>
      <c r="AT118" s="11"/>
      <c r="AU118" s="11"/>
    </row>
    <row r="119" spans="1:47" ht="64.5" x14ac:dyDescent="0.9">
      <c r="A119" s="66" t="s">
        <v>66</v>
      </c>
      <c r="B119" s="66"/>
      <c r="C119" s="66"/>
      <c r="D119" s="66"/>
      <c r="E119" s="66"/>
      <c r="F119" s="30"/>
      <c r="G119" s="31"/>
      <c r="H119" s="31"/>
      <c r="I119" s="66"/>
      <c r="J119" s="32"/>
      <c r="K119" s="33"/>
      <c r="L119" s="66"/>
      <c r="M119" s="66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5"/>
      <c r="AO119" s="66"/>
      <c r="AP119" s="66"/>
      <c r="AQ119" s="66"/>
      <c r="AR119" s="66"/>
      <c r="AS119" s="11"/>
      <c r="AT119" s="11"/>
      <c r="AU119" s="11"/>
    </row>
    <row r="120" spans="1:47" ht="65.25" x14ac:dyDescent="0.95">
      <c r="A120" s="170" t="s">
        <v>67</v>
      </c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36"/>
      <c r="AJ120" s="36"/>
      <c r="AK120" s="36"/>
      <c r="AL120" s="36"/>
      <c r="AM120" s="36"/>
      <c r="AN120" s="37"/>
      <c r="AO120" s="66"/>
      <c r="AP120" s="66"/>
      <c r="AQ120" s="66"/>
      <c r="AR120" s="66"/>
      <c r="AS120" s="11"/>
      <c r="AT120" s="11"/>
      <c r="AU120" s="11"/>
    </row>
    <row r="121" spans="1:47" ht="65.25" x14ac:dyDescent="0.95">
      <c r="A121" s="169" t="s">
        <v>68</v>
      </c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67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7"/>
      <c r="AO121" s="38"/>
      <c r="AP121" s="38"/>
      <c r="AQ121" s="38"/>
      <c r="AR121" s="38"/>
      <c r="AS121" s="11"/>
      <c r="AT121" s="11"/>
      <c r="AU121" s="11"/>
    </row>
    <row r="122" spans="1:47" ht="65.25" x14ac:dyDescent="0.95">
      <c r="A122" s="169" t="s">
        <v>69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65"/>
      <c r="AN122" s="37"/>
      <c r="AO122" s="38"/>
      <c r="AP122" s="38"/>
      <c r="AQ122" s="38"/>
      <c r="AR122" s="38"/>
      <c r="AS122" s="11"/>
      <c r="AT122" s="11"/>
      <c r="AU122" s="11"/>
    </row>
    <row r="123" spans="1:47" ht="65.25" x14ac:dyDescent="0.95">
      <c r="A123" s="39" t="s">
        <v>70</v>
      </c>
      <c r="B123" s="39"/>
      <c r="C123" s="66"/>
      <c r="D123" s="39"/>
      <c r="E123" s="39"/>
      <c r="F123" s="31"/>
      <c r="G123" s="31"/>
      <c r="H123" s="31"/>
      <c r="I123" s="39"/>
      <c r="J123" s="39"/>
      <c r="K123" s="33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7"/>
      <c r="AO123" s="38"/>
      <c r="AP123" s="38"/>
      <c r="AQ123" s="38"/>
      <c r="AR123" s="38"/>
      <c r="AS123" s="13"/>
      <c r="AT123" s="13"/>
      <c r="AU123" s="13"/>
    </row>
    <row r="124" spans="1:47" ht="65.25" x14ac:dyDescent="0.95">
      <c r="A124" s="170" t="s">
        <v>71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70"/>
      <c r="AF124" s="170"/>
      <c r="AG124" s="170"/>
      <c r="AH124" s="170"/>
      <c r="AI124" s="36"/>
      <c r="AJ124" s="36"/>
      <c r="AK124" s="36"/>
      <c r="AL124" s="36"/>
      <c r="AM124" s="36"/>
      <c r="AN124" s="37"/>
      <c r="AO124" s="38"/>
      <c r="AP124" s="38"/>
      <c r="AQ124" s="38"/>
      <c r="AR124" s="38"/>
      <c r="AS124" s="13"/>
      <c r="AT124" s="13"/>
      <c r="AU124" s="13"/>
    </row>
    <row r="125" spans="1:47" ht="130.15" customHeight="1" x14ac:dyDescent="0.9">
      <c r="A125" s="169" t="s">
        <v>185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38"/>
      <c r="AJ125" s="38"/>
      <c r="AK125" s="38"/>
      <c r="AL125" s="38"/>
      <c r="AM125" s="38"/>
      <c r="AN125" s="40"/>
      <c r="AO125" s="38"/>
      <c r="AP125" s="38"/>
      <c r="AQ125" s="38"/>
      <c r="AR125" s="38"/>
      <c r="AS125" s="13"/>
      <c r="AT125" s="13"/>
      <c r="AU125" s="13"/>
    </row>
    <row r="126" spans="1:47" ht="51.6" customHeight="1" x14ac:dyDescent="0.9">
      <c r="A126" s="39" t="s">
        <v>72</v>
      </c>
      <c r="B126" s="39"/>
      <c r="C126" s="66"/>
      <c r="D126" s="39"/>
      <c r="E126" s="39"/>
      <c r="F126" s="31"/>
      <c r="G126" s="31"/>
      <c r="H126" s="31"/>
      <c r="I126" s="39"/>
      <c r="J126" s="39"/>
      <c r="K126" s="33"/>
      <c r="L126" s="39"/>
      <c r="M126" s="39"/>
      <c r="N126" s="39"/>
      <c r="O126" s="39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40"/>
      <c r="AO126" s="38"/>
      <c r="AP126" s="38"/>
      <c r="AQ126" s="38"/>
      <c r="AR126" s="38"/>
      <c r="AS126" s="13"/>
      <c r="AT126" s="13"/>
      <c r="AU126" s="13"/>
    </row>
    <row r="127" spans="1:47" ht="65.25" x14ac:dyDescent="0.95">
      <c r="A127" s="66" t="s">
        <v>73</v>
      </c>
      <c r="B127" s="66"/>
      <c r="C127" s="66"/>
      <c r="D127" s="66"/>
      <c r="E127" s="66"/>
      <c r="F127" s="31"/>
      <c r="G127" s="31"/>
      <c r="H127" s="31"/>
      <c r="I127" s="66"/>
      <c r="J127" s="41"/>
      <c r="K127" s="42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7"/>
      <c r="AO127" s="38"/>
      <c r="AP127" s="38"/>
      <c r="AQ127" s="38"/>
      <c r="AR127" s="38"/>
      <c r="AS127" s="13"/>
      <c r="AT127" s="13"/>
      <c r="AU127" s="13"/>
    </row>
    <row r="128" spans="1:47" ht="64.5" x14ac:dyDescent="0.9">
      <c r="A128" s="170" t="s">
        <v>74</v>
      </c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38"/>
      <c r="AJ128" s="38"/>
      <c r="AK128" s="38"/>
      <c r="AL128" s="38"/>
      <c r="AM128" s="38"/>
      <c r="AN128" s="40"/>
      <c r="AO128" s="38"/>
      <c r="AP128" s="38"/>
      <c r="AQ128" s="38"/>
      <c r="AR128" s="38"/>
      <c r="AS128" s="13"/>
      <c r="AT128" s="13"/>
      <c r="AU128" s="13"/>
    </row>
    <row r="129" spans="1:47" ht="64.5" x14ac:dyDescent="0.9">
      <c r="A129" s="168" t="s">
        <v>75</v>
      </c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64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4"/>
      <c r="AO129" s="43"/>
      <c r="AP129" s="43"/>
      <c r="AQ129" s="43"/>
      <c r="AR129" s="43"/>
      <c r="AS129" s="14"/>
      <c r="AT129" s="14"/>
      <c r="AU129" s="14"/>
    </row>
    <row r="130" spans="1:47" ht="64.5" x14ac:dyDescent="0.9">
      <c r="A130" s="168" t="s">
        <v>76</v>
      </c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64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4"/>
      <c r="AO130" s="43"/>
      <c r="AP130" s="43"/>
      <c r="AQ130" s="43"/>
      <c r="AR130" s="43"/>
      <c r="AS130" s="14"/>
      <c r="AT130" s="14"/>
      <c r="AU130" s="14"/>
    </row>
    <row r="131" spans="1:47" ht="64.5" x14ac:dyDescent="0.9">
      <c r="A131" s="39" t="s">
        <v>77</v>
      </c>
      <c r="B131" s="39"/>
      <c r="C131" s="66"/>
      <c r="D131" s="39"/>
      <c r="E131" s="39"/>
      <c r="F131" s="31"/>
      <c r="G131" s="31"/>
      <c r="H131" s="31"/>
      <c r="I131" s="39"/>
      <c r="J131" s="39"/>
      <c r="K131" s="33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40"/>
      <c r="AO131" s="38"/>
      <c r="AP131" s="38"/>
      <c r="AQ131" s="38"/>
      <c r="AR131" s="38"/>
      <c r="AS131" s="13"/>
      <c r="AT131" s="13"/>
      <c r="AU131" s="13"/>
    </row>
    <row r="132" spans="1:47" ht="65.25" x14ac:dyDescent="0.95">
      <c r="A132" s="39" t="s">
        <v>78</v>
      </c>
      <c r="B132" s="39"/>
      <c r="C132" s="66"/>
      <c r="D132" s="39"/>
      <c r="E132" s="39"/>
      <c r="F132" s="31"/>
      <c r="G132" s="31"/>
      <c r="H132" s="31"/>
      <c r="I132" s="39"/>
      <c r="J132" s="39"/>
      <c r="K132" s="33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7"/>
      <c r="AO132" s="36"/>
      <c r="AP132" s="36"/>
      <c r="AQ132" s="36"/>
      <c r="AR132" s="36"/>
      <c r="AS132" s="12"/>
      <c r="AT132" s="12"/>
      <c r="AU132" s="12"/>
    </row>
    <row r="133" spans="1:47" ht="64.5" x14ac:dyDescent="0.35">
      <c r="A133" s="169" t="s">
        <v>79</v>
      </c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2"/>
      <c r="AT133" s="12"/>
      <c r="AU133" s="12"/>
    </row>
    <row r="134" spans="1:47" ht="65.25" x14ac:dyDescent="0.95">
      <c r="A134" s="66" t="s">
        <v>80</v>
      </c>
      <c r="B134" s="66"/>
      <c r="C134" s="66"/>
      <c r="D134" s="66"/>
      <c r="E134" s="66"/>
      <c r="F134" s="45"/>
      <c r="G134" s="46"/>
      <c r="H134" s="31"/>
      <c r="I134" s="66"/>
      <c r="J134" s="47"/>
      <c r="K134" s="33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48"/>
      <c r="AA134" s="48"/>
      <c r="AB134" s="48"/>
      <c r="AC134" s="48"/>
      <c r="AD134" s="48"/>
      <c r="AE134" s="48"/>
      <c r="AF134" s="48"/>
      <c r="AG134" s="48"/>
      <c r="AH134" s="48"/>
      <c r="AI134" s="36"/>
      <c r="AJ134" s="36"/>
      <c r="AK134" s="36"/>
      <c r="AL134" s="36"/>
      <c r="AM134" s="36"/>
      <c r="AN134" s="37"/>
      <c r="AO134" s="36"/>
      <c r="AP134" s="36"/>
      <c r="AQ134" s="36"/>
      <c r="AR134" s="36"/>
      <c r="AS134" s="12"/>
      <c r="AT134" s="12"/>
      <c r="AU134" s="12"/>
    </row>
    <row r="136" spans="1:47" x14ac:dyDescent="0.35"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</row>
  </sheetData>
  <autoFilter ref="A14:BQ134" xr:uid="{00000000-0009-0000-0000-000000000000}"/>
  <mergeCells count="125">
    <mergeCell ref="AC9:AF9"/>
    <mergeCell ref="AF10:AF11"/>
    <mergeCell ref="AE10:AE11"/>
    <mergeCell ref="AD10:AD11"/>
    <mergeCell ref="AC10:AC11"/>
    <mergeCell ref="A124:AH124"/>
    <mergeCell ref="A125:AH125"/>
    <mergeCell ref="A128:AH128"/>
    <mergeCell ref="A129:Z129"/>
    <mergeCell ref="A103:C103"/>
    <mergeCell ref="A104:C104"/>
    <mergeCell ref="A108:AD108"/>
    <mergeCell ref="M109:U109"/>
    <mergeCell ref="V109:V110"/>
    <mergeCell ref="W109:W110"/>
    <mergeCell ref="X109:X110"/>
    <mergeCell ref="Y109:Y110"/>
    <mergeCell ref="Y10:Y11"/>
    <mergeCell ref="Z10:Z11"/>
    <mergeCell ref="AA10:AA11"/>
    <mergeCell ref="AB10:AB11"/>
    <mergeCell ref="A13:AH13"/>
    <mergeCell ref="A43:C43"/>
    <mergeCell ref="M9:AB9"/>
    <mergeCell ref="A130:T130"/>
    <mergeCell ref="A133:AR133"/>
    <mergeCell ref="AQ115:AU116"/>
    <mergeCell ref="D117:L117"/>
    <mergeCell ref="AQ117:AU117"/>
    <mergeCell ref="A120:AH120"/>
    <mergeCell ref="A121:AB121"/>
    <mergeCell ref="A122:AL122"/>
    <mergeCell ref="AH115:AH116"/>
    <mergeCell ref="AJ115:AJ116"/>
    <mergeCell ref="AL115:AL116"/>
    <mergeCell ref="AN115:AN116"/>
    <mergeCell ref="AO115:AO116"/>
    <mergeCell ref="AP115:AP116"/>
    <mergeCell ref="Z115:Z116"/>
    <mergeCell ref="AA115:AA116"/>
    <mergeCell ref="AB115:AB116"/>
    <mergeCell ref="AC115:AC116"/>
    <mergeCell ref="AD115:AD116"/>
    <mergeCell ref="AF115:AF116"/>
    <mergeCell ref="AQ112:AU113"/>
    <mergeCell ref="D114:L114"/>
    <mergeCell ref="AQ114:AU114"/>
    <mergeCell ref="A115:C117"/>
    <mergeCell ref="D115:L116"/>
    <mergeCell ref="M115:U115"/>
    <mergeCell ref="V115:V116"/>
    <mergeCell ref="W115:W116"/>
    <mergeCell ref="X115:X116"/>
    <mergeCell ref="Y115:Y116"/>
    <mergeCell ref="AH112:AH113"/>
    <mergeCell ref="AJ112:AJ113"/>
    <mergeCell ref="AL112:AL113"/>
    <mergeCell ref="AN112:AN113"/>
    <mergeCell ref="AO112:AO113"/>
    <mergeCell ref="AP112:AP113"/>
    <mergeCell ref="Z112:Z113"/>
    <mergeCell ref="AA112:AA113"/>
    <mergeCell ref="AB112:AB113"/>
    <mergeCell ref="AC112:AC113"/>
    <mergeCell ref="AD112:AD113"/>
    <mergeCell ref="AF112:AF113"/>
    <mergeCell ref="AQ109:AU110"/>
    <mergeCell ref="D111:L111"/>
    <mergeCell ref="AQ111:AU111"/>
    <mergeCell ref="A112:C114"/>
    <mergeCell ref="D112:L113"/>
    <mergeCell ref="M112:U112"/>
    <mergeCell ref="V112:V113"/>
    <mergeCell ref="W112:W113"/>
    <mergeCell ref="X112:X113"/>
    <mergeCell ref="Y112:Y113"/>
    <mergeCell ref="AH109:AH110"/>
    <mergeCell ref="AJ109:AJ110"/>
    <mergeCell ref="AL109:AL110"/>
    <mergeCell ref="AN109:AN110"/>
    <mergeCell ref="AO109:AO110"/>
    <mergeCell ref="AP109:AP110"/>
    <mergeCell ref="Z109:Z110"/>
    <mergeCell ref="AA109:AA110"/>
    <mergeCell ref="AB109:AB110"/>
    <mergeCell ref="AC109:AC110"/>
    <mergeCell ref="AD109:AD110"/>
    <mergeCell ref="AF109:AF110"/>
    <mergeCell ref="A109:C111"/>
    <mergeCell ref="D109:L110"/>
    <mergeCell ref="AI85:AQ85"/>
    <mergeCell ref="AI89:BD89"/>
    <mergeCell ref="AI90:BI90"/>
    <mergeCell ref="AI95:AR95"/>
    <mergeCell ref="AI102:AX102"/>
    <mergeCell ref="A44:AH44"/>
    <mergeCell ref="A65:C65"/>
    <mergeCell ref="A66:AH66"/>
    <mergeCell ref="AI71:BC71"/>
    <mergeCell ref="AI72:AZ72"/>
    <mergeCell ref="AI84:BN84"/>
    <mergeCell ref="AA2:AH2"/>
    <mergeCell ref="AA3:AH3"/>
    <mergeCell ref="AA4:AH4"/>
    <mergeCell ref="AA5:AH5"/>
    <mergeCell ref="A7:AH7"/>
    <mergeCell ref="A9:A11"/>
    <mergeCell ref="B9:B11"/>
    <mergeCell ref="C9:C11"/>
    <mergeCell ref="D9:D11"/>
    <mergeCell ref="E9:E11"/>
    <mergeCell ref="AG9:AG11"/>
    <mergeCell ref="AH9:AH11"/>
    <mergeCell ref="G10:G11"/>
    <mergeCell ref="H10:H11"/>
    <mergeCell ref="M10:U10"/>
    <mergeCell ref="V10:V11"/>
    <mergeCell ref="W10:W11"/>
    <mergeCell ref="X10:X11"/>
    <mergeCell ref="F9:F11"/>
    <mergeCell ref="G9:H9"/>
    <mergeCell ref="I9:I11"/>
    <mergeCell ref="J9:J11"/>
    <mergeCell ref="K9:K11"/>
    <mergeCell ref="L9:L11"/>
  </mergeCells>
  <pageMargins left="0.78740157480314965" right="0.70866141732283472" top="1.1811023622047245" bottom="0.39370078740157483" header="0.35433070866141736" footer="0.31496062992125984"/>
  <pageSetup paperSize="9" scale="17" orientation="landscape" r:id="rId1"/>
  <headerFooter differentFirst="1">
    <oddHeader>&amp;C&amp;"Times New Roman,обычный"&amp;60 &amp;P</oddHeader>
    <firstHeader xml:space="preserve">&amp;C
</firstHeader>
  </headerFooter>
  <colBreaks count="1" manualBreakCount="1">
    <brk id="34" max="1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4180-935B-43ED-9A5A-4BD99DD938DC}">
  <dimension ref="A2:BQ134"/>
  <sheetViews>
    <sheetView topLeftCell="I103" zoomScale="40" zoomScaleNormal="40" zoomScaleSheetLayoutView="30" zoomScalePageLayoutView="22" workbookViewId="0">
      <selection activeCell="AB110" sqref="AB110:AB111"/>
    </sheetView>
  </sheetViews>
  <sheetFormatPr defaultColWidth="9.140625" defaultRowHeight="23.25" x14ac:dyDescent="0.35"/>
  <cols>
    <col min="1" max="1" width="10.28515625" style="1" customWidth="1"/>
    <col min="2" max="2" width="10.7109375" style="1" customWidth="1"/>
    <col min="3" max="3" width="41.140625" style="86" customWidth="1"/>
    <col min="4" max="4" width="10.7109375" style="1" customWidth="1"/>
    <col min="5" max="5" width="11.28515625" style="1" customWidth="1"/>
    <col min="6" max="6" width="15.5703125" style="87" customWidth="1"/>
    <col min="7" max="7" width="14.42578125" style="87" customWidth="1"/>
    <col min="8" max="8" width="12" style="87" customWidth="1"/>
    <col min="9" max="10" width="10.7109375" style="1" customWidth="1"/>
    <col min="11" max="11" width="10.85546875" style="88" customWidth="1"/>
    <col min="12" max="12" width="9.85546875" style="1" customWidth="1"/>
    <col min="13" max="13" width="29.140625" style="1" customWidth="1"/>
    <col min="14" max="20" width="28.7109375" style="1" customWidth="1"/>
    <col min="21" max="21" width="26.140625" style="1" customWidth="1"/>
    <col min="22" max="22" width="28.7109375" style="1" customWidth="1"/>
    <col min="23" max="23" width="29.7109375" style="1" customWidth="1"/>
    <col min="24" max="28" width="28.7109375" style="1" customWidth="1"/>
    <col min="29" max="29" width="31.28515625" style="1" customWidth="1"/>
    <col min="30" max="30" width="21.28515625" style="1" customWidth="1"/>
    <col min="31" max="31" width="22.7109375" style="1" customWidth="1"/>
    <col min="32" max="32" width="31.28515625" style="1" customWidth="1"/>
    <col min="33" max="34" width="13.28515625" style="1" customWidth="1"/>
    <col min="35" max="16384" width="9.140625" style="1"/>
  </cols>
  <sheetData>
    <row r="2" spans="1:34" ht="75" customHeight="1" x14ac:dyDescent="1.1499999999999999">
      <c r="A2" s="51"/>
      <c r="B2" s="71"/>
      <c r="C2" s="72"/>
      <c r="D2" s="71"/>
      <c r="E2" s="71"/>
      <c r="F2" s="73"/>
      <c r="G2" s="73"/>
      <c r="H2" s="73"/>
      <c r="I2" s="71"/>
      <c r="J2" s="71"/>
      <c r="K2" s="74"/>
      <c r="L2" s="51"/>
      <c r="M2" s="105"/>
      <c r="N2" s="105"/>
      <c r="O2" s="105"/>
      <c r="P2" s="105"/>
      <c r="Q2" s="105"/>
      <c r="R2" s="105"/>
      <c r="S2" s="105"/>
      <c r="T2" s="105"/>
      <c r="U2" s="105"/>
      <c r="V2" s="51"/>
      <c r="W2" s="51"/>
      <c r="X2" s="51"/>
      <c r="Y2" s="51"/>
      <c r="Z2" s="51"/>
      <c r="AA2" s="114" t="s">
        <v>81</v>
      </c>
      <c r="AB2" s="114"/>
      <c r="AC2" s="114"/>
      <c r="AD2" s="114"/>
      <c r="AE2" s="114"/>
      <c r="AF2" s="114"/>
      <c r="AG2" s="114"/>
      <c r="AH2" s="114"/>
    </row>
    <row r="3" spans="1:34" ht="81.75" x14ac:dyDescent="1.1499999999999999">
      <c r="A3" s="51"/>
      <c r="B3" s="71"/>
      <c r="C3" s="72"/>
      <c r="D3" s="71"/>
      <c r="E3" s="71"/>
      <c r="F3" s="73"/>
      <c r="G3" s="73"/>
      <c r="H3" s="73"/>
      <c r="I3" s="71"/>
      <c r="J3" s="71"/>
      <c r="K3" s="74"/>
      <c r="L3" s="51"/>
      <c r="M3" s="105"/>
      <c r="N3" s="105"/>
      <c r="O3" s="105"/>
      <c r="P3" s="105"/>
      <c r="Q3" s="105"/>
      <c r="R3" s="105"/>
      <c r="S3" s="105"/>
      <c r="T3" s="105"/>
      <c r="U3" s="105"/>
      <c r="V3" s="51"/>
      <c r="W3" s="51"/>
      <c r="X3" s="51"/>
      <c r="Y3" s="51"/>
      <c r="Z3" s="51"/>
      <c r="AA3" s="117" t="s">
        <v>191</v>
      </c>
      <c r="AB3" s="117"/>
      <c r="AC3" s="117"/>
      <c r="AD3" s="117"/>
      <c r="AE3" s="117"/>
      <c r="AF3" s="117"/>
      <c r="AG3" s="117"/>
      <c r="AH3" s="117"/>
    </row>
    <row r="4" spans="1:34" ht="81.75" x14ac:dyDescent="1.1499999999999999">
      <c r="A4" s="51"/>
      <c r="B4" s="71"/>
      <c r="C4" s="72"/>
      <c r="D4" s="71"/>
      <c r="E4" s="71"/>
      <c r="F4" s="73"/>
      <c r="G4" s="73"/>
      <c r="H4" s="73"/>
      <c r="I4" s="71"/>
      <c r="J4" s="71"/>
      <c r="K4" s="74"/>
      <c r="L4" s="51"/>
      <c r="M4" s="105"/>
      <c r="N4" s="105"/>
      <c r="O4" s="105"/>
      <c r="P4" s="105"/>
      <c r="Q4" s="105"/>
      <c r="R4" s="105"/>
      <c r="S4" s="105"/>
      <c r="T4" s="105"/>
      <c r="U4" s="105"/>
      <c r="V4" s="51"/>
      <c r="W4" s="51"/>
      <c r="X4" s="51"/>
      <c r="Y4" s="51"/>
      <c r="Z4" s="51"/>
      <c r="AA4" s="114" t="s">
        <v>192</v>
      </c>
      <c r="AB4" s="114"/>
      <c r="AC4" s="114"/>
      <c r="AD4" s="114"/>
      <c r="AE4" s="114"/>
      <c r="AF4" s="114"/>
      <c r="AG4" s="114"/>
      <c r="AH4" s="114"/>
    </row>
    <row r="5" spans="1:34" ht="81.75" x14ac:dyDescent="1.1499999999999999">
      <c r="A5" s="51"/>
      <c r="B5" s="71"/>
      <c r="C5" s="72"/>
      <c r="D5" s="71"/>
      <c r="E5" s="71"/>
      <c r="F5" s="73"/>
      <c r="G5" s="73"/>
      <c r="H5" s="73"/>
      <c r="I5" s="71"/>
      <c r="J5" s="71"/>
      <c r="K5" s="74"/>
      <c r="L5" s="51"/>
      <c r="M5" s="105"/>
      <c r="N5" s="105"/>
      <c r="O5" s="105"/>
      <c r="P5" s="105"/>
      <c r="Q5" s="105"/>
      <c r="R5" s="105"/>
      <c r="S5" s="105"/>
      <c r="T5" s="105"/>
      <c r="U5" s="105"/>
      <c r="V5" s="51"/>
      <c r="W5" s="51"/>
      <c r="X5" s="51"/>
      <c r="Y5" s="51"/>
      <c r="Z5" s="51"/>
      <c r="AA5" s="114" t="s">
        <v>214</v>
      </c>
      <c r="AB5" s="114"/>
      <c r="AC5" s="114"/>
      <c r="AD5" s="114"/>
      <c r="AE5" s="114"/>
      <c r="AF5" s="114"/>
      <c r="AG5" s="114"/>
      <c r="AH5" s="114"/>
    </row>
    <row r="6" spans="1:34" ht="83.45" customHeight="1" x14ac:dyDescent="0.35">
      <c r="A6" s="51"/>
      <c r="B6" s="71"/>
      <c r="C6" s="72"/>
      <c r="D6" s="71"/>
      <c r="E6" s="71"/>
      <c r="F6" s="73"/>
      <c r="G6" s="73"/>
      <c r="H6" s="73"/>
      <c r="I6" s="71"/>
      <c r="J6" s="71"/>
      <c r="K6" s="74"/>
      <c r="L6" s="51"/>
      <c r="M6" s="105"/>
      <c r="N6" s="105"/>
      <c r="O6" s="105"/>
      <c r="P6" s="105"/>
      <c r="Q6" s="105"/>
      <c r="R6" s="105"/>
      <c r="S6" s="105"/>
      <c r="T6" s="105"/>
      <c r="U6" s="105"/>
      <c r="V6" s="51"/>
      <c r="W6" s="51"/>
      <c r="X6" s="51"/>
      <c r="Y6" s="51"/>
      <c r="Z6" s="51"/>
      <c r="AA6" s="52"/>
      <c r="AB6" s="51"/>
      <c r="AC6" s="105"/>
      <c r="AD6" s="105"/>
      <c r="AE6" s="105"/>
      <c r="AF6" s="105"/>
      <c r="AG6" s="71"/>
      <c r="AH6" s="71"/>
    </row>
    <row r="7" spans="1:34" ht="132" customHeight="1" x14ac:dyDescent="0.35">
      <c r="A7" s="120" t="s">
        <v>91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</row>
    <row r="8" spans="1:34" ht="65.45" customHeight="1" x14ac:dyDescent="0.35">
      <c r="A8" s="51"/>
      <c r="B8" s="71"/>
      <c r="C8" s="72"/>
      <c r="D8" s="71"/>
      <c r="E8" s="71"/>
      <c r="F8" s="73"/>
      <c r="G8" s="75"/>
      <c r="H8" s="75"/>
      <c r="I8" s="71"/>
      <c r="J8" s="71"/>
      <c r="K8" s="74"/>
      <c r="L8" s="51"/>
      <c r="M8" s="106"/>
      <c r="N8" s="106"/>
      <c r="O8" s="106"/>
      <c r="P8" s="106"/>
      <c r="Q8" s="106"/>
      <c r="R8" s="106"/>
      <c r="S8" s="106"/>
      <c r="T8" s="106"/>
      <c r="U8" s="106"/>
      <c r="V8" s="53"/>
      <c r="W8" s="53"/>
      <c r="X8" s="53"/>
      <c r="Y8" s="53"/>
      <c r="Z8" s="53"/>
      <c r="AA8" s="54"/>
      <c r="AB8" s="53"/>
      <c r="AC8" s="106"/>
      <c r="AD8" s="106"/>
      <c r="AE8" s="106"/>
      <c r="AF8" s="106"/>
      <c r="AG8" s="71" t="s">
        <v>100</v>
      </c>
      <c r="AH8" s="71" t="s">
        <v>101</v>
      </c>
    </row>
    <row r="9" spans="1:34" ht="103.9" customHeight="1" x14ac:dyDescent="0.35">
      <c r="A9" s="123" t="s">
        <v>0</v>
      </c>
      <c r="B9" s="126" t="s">
        <v>1</v>
      </c>
      <c r="C9" s="123" t="s">
        <v>2</v>
      </c>
      <c r="D9" s="126" t="s">
        <v>3</v>
      </c>
      <c r="E9" s="126" t="s">
        <v>4</v>
      </c>
      <c r="F9" s="136" t="s">
        <v>203</v>
      </c>
      <c r="G9" s="132" t="s">
        <v>5</v>
      </c>
      <c r="H9" s="134"/>
      <c r="I9" s="126" t="s">
        <v>6</v>
      </c>
      <c r="J9" s="126" t="s">
        <v>7</v>
      </c>
      <c r="K9" s="126" t="s">
        <v>8</v>
      </c>
      <c r="L9" s="123" t="s">
        <v>9</v>
      </c>
      <c r="M9" s="132" t="s">
        <v>10</v>
      </c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4"/>
      <c r="AC9" s="132" t="s">
        <v>11</v>
      </c>
      <c r="AD9" s="133"/>
      <c r="AE9" s="133"/>
      <c r="AF9" s="134"/>
      <c r="AG9" s="126" t="s">
        <v>12</v>
      </c>
      <c r="AH9" s="126" t="s">
        <v>13</v>
      </c>
    </row>
    <row r="10" spans="1:34" ht="35.450000000000003" customHeight="1" x14ac:dyDescent="0.35">
      <c r="A10" s="124"/>
      <c r="B10" s="127"/>
      <c r="C10" s="124"/>
      <c r="D10" s="127"/>
      <c r="E10" s="127"/>
      <c r="F10" s="137"/>
      <c r="G10" s="136" t="s">
        <v>204</v>
      </c>
      <c r="H10" s="136" t="s">
        <v>205</v>
      </c>
      <c r="I10" s="127"/>
      <c r="J10" s="127"/>
      <c r="K10" s="127"/>
      <c r="L10" s="124"/>
      <c r="M10" s="132" t="s">
        <v>14</v>
      </c>
      <c r="N10" s="133"/>
      <c r="O10" s="133"/>
      <c r="P10" s="133"/>
      <c r="Q10" s="133"/>
      <c r="R10" s="133"/>
      <c r="S10" s="133"/>
      <c r="T10" s="133"/>
      <c r="U10" s="134"/>
      <c r="V10" s="123" t="s">
        <v>15</v>
      </c>
      <c r="W10" s="123" t="s">
        <v>16</v>
      </c>
      <c r="X10" s="123" t="s">
        <v>99</v>
      </c>
      <c r="Y10" s="123" t="s">
        <v>87</v>
      </c>
      <c r="Z10" s="123" t="s">
        <v>17</v>
      </c>
      <c r="AA10" s="184" t="s">
        <v>88</v>
      </c>
      <c r="AB10" s="123" t="s">
        <v>89</v>
      </c>
      <c r="AC10" s="123" t="s">
        <v>23</v>
      </c>
      <c r="AD10" s="126" t="s">
        <v>93</v>
      </c>
      <c r="AE10" s="126" t="s">
        <v>24</v>
      </c>
      <c r="AF10" s="126" t="s">
        <v>94</v>
      </c>
      <c r="AG10" s="127"/>
      <c r="AH10" s="127"/>
    </row>
    <row r="11" spans="1:34" ht="241.5" customHeight="1" x14ac:dyDescent="0.35">
      <c r="A11" s="125"/>
      <c r="B11" s="128"/>
      <c r="C11" s="125"/>
      <c r="D11" s="128"/>
      <c r="E11" s="128"/>
      <c r="F11" s="138"/>
      <c r="G11" s="138"/>
      <c r="H11" s="138"/>
      <c r="I11" s="128"/>
      <c r="J11" s="128"/>
      <c r="K11" s="128"/>
      <c r="L11" s="125"/>
      <c r="M11" s="94" t="s">
        <v>18</v>
      </c>
      <c r="N11" s="94" t="s">
        <v>19</v>
      </c>
      <c r="O11" s="94" t="s">
        <v>20</v>
      </c>
      <c r="P11" s="94" t="s">
        <v>105</v>
      </c>
      <c r="Q11" s="94" t="s">
        <v>21</v>
      </c>
      <c r="R11" s="94" t="s">
        <v>98</v>
      </c>
      <c r="S11" s="94" t="s">
        <v>22</v>
      </c>
      <c r="T11" s="94" t="s">
        <v>90</v>
      </c>
      <c r="U11" s="94" t="s">
        <v>86</v>
      </c>
      <c r="V11" s="125"/>
      <c r="W11" s="125"/>
      <c r="X11" s="125"/>
      <c r="Y11" s="125"/>
      <c r="Z11" s="125"/>
      <c r="AA11" s="185"/>
      <c r="AB11" s="125"/>
      <c r="AC11" s="125"/>
      <c r="AD11" s="128"/>
      <c r="AE11" s="128"/>
      <c r="AF11" s="128"/>
      <c r="AG11" s="128"/>
      <c r="AH11" s="128"/>
    </row>
    <row r="12" spans="1:34" ht="51" customHeight="1" x14ac:dyDescent="0.35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76">
        <v>6</v>
      </c>
      <c r="G12" s="76">
        <v>7</v>
      </c>
      <c r="H12" s="76">
        <v>8</v>
      </c>
      <c r="I12" s="94">
        <v>9</v>
      </c>
      <c r="J12" s="94">
        <v>10</v>
      </c>
      <c r="K12" s="94">
        <v>11</v>
      </c>
      <c r="L12" s="94">
        <v>12</v>
      </c>
      <c r="M12" s="94">
        <v>13</v>
      </c>
      <c r="N12" s="94">
        <v>14</v>
      </c>
      <c r="O12" s="94">
        <v>15</v>
      </c>
      <c r="P12" s="94">
        <v>16</v>
      </c>
      <c r="Q12" s="94">
        <v>17</v>
      </c>
      <c r="R12" s="94">
        <v>18</v>
      </c>
      <c r="S12" s="94">
        <v>19</v>
      </c>
      <c r="T12" s="94">
        <v>20</v>
      </c>
      <c r="U12" s="94">
        <v>21</v>
      </c>
      <c r="V12" s="94">
        <v>22</v>
      </c>
      <c r="W12" s="94">
        <v>23</v>
      </c>
      <c r="X12" s="94">
        <v>24</v>
      </c>
      <c r="Y12" s="94">
        <v>25</v>
      </c>
      <c r="Z12" s="94">
        <v>26</v>
      </c>
      <c r="AA12" s="94">
        <v>27</v>
      </c>
      <c r="AB12" s="94">
        <v>28</v>
      </c>
      <c r="AC12" s="94">
        <v>29</v>
      </c>
      <c r="AD12" s="94">
        <v>30</v>
      </c>
      <c r="AE12" s="94">
        <v>31</v>
      </c>
      <c r="AF12" s="94">
        <v>32</v>
      </c>
      <c r="AG12" s="94">
        <v>33</v>
      </c>
      <c r="AH12" s="94">
        <v>34</v>
      </c>
    </row>
    <row r="13" spans="1:34" ht="109.9" customHeight="1" x14ac:dyDescent="0.35">
      <c r="A13" s="142" t="s">
        <v>82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4"/>
    </row>
    <row r="14" spans="1:34" ht="109.9" customHeight="1" x14ac:dyDescent="0.35">
      <c r="A14" s="94">
        <v>1</v>
      </c>
      <c r="B14" s="95" t="s">
        <v>25</v>
      </c>
      <c r="C14" s="94" t="s">
        <v>193</v>
      </c>
      <c r="D14" s="94">
        <v>1956</v>
      </c>
      <c r="E14" s="94">
        <v>4</v>
      </c>
      <c r="F14" s="109">
        <v>2373</v>
      </c>
      <c r="G14" s="109">
        <v>2161</v>
      </c>
      <c r="H14" s="109">
        <v>1300.5</v>
      </c>
      <c r="I14" s="94">
        <v>49</v>
      </c>
      <c r="J14" s="94" t="s">
        <v>27</v>
      </c>
      <c r="K14" s="94" t="s">
        <v>28</v>
      </c>
      <c r="L14" s="19"/>
      <c r="M14" s="102">
        <f t="shared" ref="M14:M15" si="0">SUM(N14:U14)</f>
        <v>8101070.3599999994</v>
      </c>
      <c r="N14" s="102">
        <f t="shared" ref="N14:N15" si="1">ROUND(G14*616.25,2)</f>
        <v>1331716.25</v>
      </c>
      <c r="O14" s="102">
        <f>ROUND(G14*871.5,2)</f>
        <v>1883311.5</v>
      </c>
      <c r="P14" s="102"/>
      <c r="Q14" s="102">
        <f t="shared" ref="Q14:Q15" si="2">ROUND(G14*596.38,2)</f>
        <v>1288777.18</v>
      </c>
      <c r="R14" s="102">
        <f t="shared" ref="R14:R15" si="3">ROUND(G14*589.88,2)</f>
        <v>1274730.68</v>
      </c>
      <c r="S14" s="102"/>
      <c r="T14" s="102">
        <f t="shared" ref="T14:T15" si="4">ROUND(G14*1074.75,2)</f>
        <v>2322534.75</v>
      </c>
      <c r="U14" s="19"/>
      <c r="V14" s="19"/>
      <c r="W14" s="19"/>
      <c r="X14" s="19"/>
      <c r="Y14" s="19"/>
      <c r="Z14" s="19"/>
      <c r="AA14" s="102">
        <v>967328.4</v>
      </c>
      <c r="AB14" s="102">
        <f t="shared" ref="AB14:AB42" si="5">ROUND((M14+V14+W14+X14+Y14+Z14)*0.015,2)</f>
        <v>121516.06</v>
      </c>
      <c r="AC14" s="102">
        <f>SUM(N14:AB14)</f>
        <v>9189914.8200000003</v>
      </c>
      <c r="AD14" s="102"/>
      <c r="AE14" s="19"/>
      <c r="AF14" s="102">
        <f t="shared" ref="AF14:AF42" si="6">AC14-(AD14+AE14)</f>
        <v>9189914.8200000003</v>
      </c>
      <c r="AG14" s="94">
        <v>2023</v>
      </c>
      <c r="AH14" s="94">
        <v>2023</v>
      </c>
    </row>
    <row r="15" spans="1:34" ht="109.9" customHeight="1" x14ac:dyDescent="0.35">
      <c r="A15" s="94">
        <v>2</v>
      </c>
      <c r="B15" s="95" t="s">
        <v>25</v>
      </c>
      <c r="C15" s="94" t="s">
        <v>194</v>
      </c>
      <c r="D15" s="94">
        <v>1956</v>
      </c>
      <c r="E15" s="94">
        <v>4</v>
      </c>
      <c r="F15" s="109">
        <v>3956.3</v>
      </c>
      <c r="G15" s="109">
        <v>1904.5</v>
      </c>
      <c r="H15" s="109">
        <v>1338.5</v>
      </c>
      <c r="I15" s="94" t="s">
        <v>26</v>
      </c>
      <c r="J15" s="94" t="s">
        <v>27</v>
      </c>
      <c r="K15" s="94" t="s">
        <v>28</v>
      </c>
      <c r="L15" s="19"/>
      <c r="M15" s="102">
        <f t="shared" si="0"/>
        <v>14731612.23</v>
      </c>
      <c r="N15" s="102">
        <f t="shared" si="1"/>
        <v>1173648.1299999999</v>
      </c>
      <c r="O15" s="102">
        <f t="shared" ref="O15" si="7">ROUND(G15*4857.9,2)</f>
        <v>9251870.5500000007</v>
      </c>
      <c r="P15" s="102"/>
      <c r="Q15" s="102">
        <f t="shared" si="2"/>
        <v>1135805.71</v>
      </c>
      <c r="R15" s="102">
        <f t="shared" si="3"/>
        <v>1123426.46</v>
      </c>
      <c r="S15" s="102"/>
      <c r="T15" s="102">
        <f t="shared" si="4"/>
        <v>2046861.38</v>
      </c>
      <c r="U15" s="19"/>
      <c r="V15" s="19"/>
      <c r="W15" s="19"/>
      <c r="X15" s="19"/>
      <c r="Y15" s="19"/>
      <c r="Z15" s="19"/>
      <c r="AA15" s="102">
        <v>938412</v>
      </c>
      <c r="AB15" s="102">
        <f t="shared" si="5"/>
        <v>220974.18</v>
      </c>
      <c r="AC15" s="102">
        <f t="shared" ref="AC15:AC42" si="8">SUM(N15:AB15)</f>
        <v>15890998.41</v>
      </c>
      <c r="AD15" s="102"/>
      <c r="AE15" s="19"/>
      <c r="AF15" s="102">
        <f t="shared" si="6"/>
        <v>15890998.41</v>
      </c>
      <c r="AG15" s="94">
        <v>2023</v>
      </c>
      <c r="AH15" s="94">
        <v>2023</v>
      </c>
    </row>
    <row r="16" spans="1:34" ht="109.9" customHeight="1" x14ac:dyDescent="0.35">
      <c r="A16" s="94">
        <v>3</v>
      </c>
      <c r="B16" s="95" t="s">
        <v>25</v>
      </c>
      <c r="C16" s="94" t="s">
        <v>107</v>
      </c>
      <c r="D16" s="94">
        <v>1961</v>
      </c>
      <c r="E16" s="94">
        <v>4</v>
      </c>
      <c r="F16" s="109">
        <v>1472.4</v>
      </c>
      <c r="G16" s="109">
        <f>1238.3+126</f>
        <v>1364.3</v>
      </c>
      <c r="H16" s="109">
        <v>1238.3</v>
      </c>
      <c r="I16" s="94" t="s">
        <v>26</v>
      </c>
      <c r="J16" s="94" t="s">
        <v>27</v>
      </c>
      <c r="K16" s="94" t="s">
        <v>28</v>
      </c>
      <c r="L16" s="19"/>
      <c r="M16" s="10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02">
        <f>ROUND(G16*1954.25,2)</f>
        <v>2666183.2799999998</v>
      </c>
      <c r="Y16" s="102">
        <f>ROUND(G16*3842.27,2)</f>
        <v>5242008.96</v>
      </c>
      <c r="Z16" s="102">
        <f>ROUND(G16*1135.41,2)</f>
        <v>1549039.86</v>
      </c>
      <c r="AA16" s="102">
        <v>926400</v>
      </c>
      <c r="AB16" s="102">
        <f t="shared" si="5"/>
        <v>141858.48000000001</v>
      </c>
      <c r="AC16" s="102">
        <f t="shared" si="8"/>
        <v>10525490.58</v>
      </c>
      <c r="AD16" s="19"/>
      <c r="AE16" s="19"/>
      <c r="AF16" s="102">
        <f t="shared" si="6"/>
        <v>10525490.58</v>
      </c>
      <c r="AG16" s="94">
        <v>2023</v>
      </c>
      <c r="AH16" s="94">
        <v>2023</v>
      </c>
    </row>
    <row r="17" spans="1:34" ht="109.9" customHeight="1" x14ac:dyDescent="0.35">
      <c r="A17" s="94">
        <v>4</v>
      </c>
      <c r="B17" s="95" t="s">
        <v>25</v>
      </c>
      <c r="C17" s="94" t="s">
        <v>108</v>
      </c>
      <c r="D17" s="94">
        <v>1966</v>
      </c>
      <c r="E17" s="94">
        <v>5</v>
      </c>
      <c r="F17" s="109">
        <v>1726.4</v>
      </c>
      <c r="G17" s="109">
        <v>1604.8</v>
      </c>
      <c r="H17" s="109">
        <v>1604.8</v>
      </c>
      <c r="I17" s="94">
        <v>121</v>
      </c>
      <c r="J17" s="94" t="s">
        <v>27</v>
      </c>
      <c r="K17" s="94" t="s">
        <v>28</v>
      </c>
      <c r="L17" s="19"/>
      <c r="M17" s="102">
        <f>SUM(N17:U17)</f>
        <v>10517409.859999999</v>
      </c>
      <c r="N17" s="102">
        <f>ROUND(G17*616.25,2)</f>
        <v>988958</v>
      </c>
      <c r="O17" s="102">
        <f>ROUND(G17*3990.81,2)</f>
        <v>6404451.8899999997</v>
      </c>
      <c r="P17" s="19"/>
      <c r="Q17" s="102">
        <f>ROUND(G17*620.83,2)</f>
        <v>996307.98</v>
      </c>
      <c r="R17" s="102">
        <f>ROUND(G17*660.21,2)</f>
        <v>1059505.01</v>
      </c>
      <c r="S17" s="19"/>
      <c r="T17" s="102">
        <f>ROUND(G17*665.62,2)</f>
        <v>1068186.98</v>
      </c>
      <c r="U17" s="19"/>
      <c r="V17" s="19"/>
      <c r="W17" s="102">
        <f>ROUND(G17*3617.12,2)</f>
        <v>5804754.1799999997</v>
      </c>
      <c r="X17" s="19"/>
      <c r="Y17" s="19"/>
      <c r="Z17" s="19"/>
      <c r="AA17" s="102">
        <f>1267905.6+642813.6</f>
        <v>1910719.2000000002</v>
      </c>
      <c r="AB17" s="102">
        <f t="shared" si="5"/>
        <v>244832.46</v>
      </c>
      <c r="AC17" s="102">
        <f t="shared" si="8"/>
        <v>18477715.699999999</v>
      </c>
      <c r="AD17" s="102"/>
      <c r="AE17" s="19"/>
      <c r="AF17" s="102">
        <f t="shared" si="6"/>
        <v>18477715.699999999</v>
      </c>
      <c r="AG17" s="94">
        <v>2023</v>
      </c>
      <c r="AH17" s="94">
        <v>2023</v>
      </c>
    </row>
    <row r="18" spans="1:34" ht="109.9" customHeight="1" x14ac:dyDescent="0.35">
      <c r="A18" s="94">
        <v>5</v>
      </c>
      <c r="B18" s="95" t="s">
        <v>25</v>
      </c>
      <c r="C18" s="94" t="s">
        <v>109</v>
      </c>
      <c r="D18" s="94">
        <v>1980</v>
      </c>
      <c r="E18" s="94">
        <v>5</v>
      </c>
      <c r="F18" s="109">
        <v>4820</v>
      </c>
      <c r="G18" s="109">
        <v>4395.8</v>
      </c>
      <c r="H18" s="109">
        <v>4379</v>
      </c>
      <c r="I18" s="94">
        <v>210</v>
      </c>
      <c r="J18" s="94" t="s">
        <v>27</v>
      </c>
      <c r="K18" s="94" t="s">
        <v>28</v>
      </c>
      <c r="L18" s="19"/>
      <c r="M18" s="102"/>
      <c r="N18" s="102"/>
      <c r="O18" s="102"/>
      <c r="P18" s="102"/>
      <c r="Q18" s="102"/>
      <c r="R18" s="102"/>
      <c r="S18" s="19"/>
      <c r="T18" s="102"/>
      <c r="U18" s="19"/>
      <c r="V18" s="19"/>
      <c r="W18" s="19"/>
      <c r="X18" s="19"/>
      <c r="Y18" s="102">
        <f>ROUND(G18*3170.13,2)</f>
        <v>13935257.449999999</v>
      </c>
      <c r="Z18" s="19"/>
      <c r="AA18" s="102">
        <v>905223.6</v>
      </c>
      <c r="AB18" s="102">
        <f>ROUND((M18+V18+W18+X18+Y18+Z18)*0.015,2)</f>
        <v>209028.86</v>
      </c>
      <c r="AC18" s="102">
        <f>SUM(N18:AB18)</f>
        <v>15049509.909999998</v>
      </c>
      <c r="AD18" s="19"/>
      <c r="AE18" s="19"/>
      <c r="AF18" s="102">
        <f>AC18-(AD18+AE18)</f>
        <v>15049509.909999998</v>
      </c>
      <c r="AG18" s="94">
        <v>2023</v>
      </c>
      <c r="AH18" s="94">
        <v>2023</v>
      </c>
    </row>
    <row r="19" spans="1:34" ht="109.9" customHeight="1" x14ac:dyDescent="0.35">
      <c r="A19" s="94">
        <v>6</v>
      </c>
      <c r="B19" s="95" t="s">
        <v>25</v>
      </c>
      <c r="C19" s="94" t="s">
        <v>110</v>
      </c>
      <c r="D19" s="94">
        <v>1956</v>
      </c>
      <c r="E19" s="94">
        <v>5</v>
      </c>
      <c r="F19" s="109">
        <v>4682.1000000000004</v>
      </c>
      <c r="G19" s="109">
        <v>4300.8999999999996</v>
      </c>
      <c r="H19" s="109">
        <v>3551</v>
      </c>
      <c r="I19" s="94">
        <v>87</v>
      </c>
      <c r="J19" s="94" t="s">
        <v>27</v>
      </c>
      <c r="K19" s="94" t="s">
        <v>28</v>
      </c>
      <c r="L19" s="19"/>
      <c r="M19" s="102">
        <f t="shared" ref="M19:M20" si="9">SUM(N19:U19)</f>
        <v>24793140.190000001</v>
      </c>
      <c r="N19" s="102">
        <f t="shared" ref="N19:N20" si="10">ROUND(G19*616.25,2)</f>
        <v>2650429.63</v>
      </c>
      <c r="O19" s="102">
        <f>ROUND(G19*3201.73,2)</f>
        <v>13770320.560000001</v>
      </c>
      <c r="P19" s="102"/>
      <c r="Q19" s="102">
        <f>ROUND(G19*620.83,2)</f>
        <v>2670127.75</v>
      </c>
      <c r="R19" s="102">
        <f>ROUND(G19*660.21,2)</f>
        <v>2839497.19</v>
      </c>
      <c r="S19" s="102"/>
      <c r="T19" s="102">
        <f>ROUND(G19*665.62,2)</f>
        <v>2862765.06</v>
      </c>
      <c r="U19" s="19"/>
      <c r="V19" s="19"/>
      <c r="W19" s="19"/>
      <c r="X19" s="19"/>
      <c r="Y19" s="19"/>
      <c r="Z19" s="19"/>
      <c r="AA19" s="102">
        <v>1306719.6000000001</v>
      </c>
      <c r="AB19" s="102">
        <f t="shared" ref="AB19:AB20" si="11">ROUND((M19+V19+W19+X19+Y19+Z19)*0.015,2)</f>
        <v>371897.1</v>
      </c>
      <c r="AC19" s="102">
        <f t="shared" ref="AC19:AC20" si="12">SUM(N19:AB19)</f>
        <v>26471756.890000004</v>
      </c>
      <c r="AD19" s="102"/>
      <c r="AE19" s="19"/>
      <c r="AF19" s="102">
        <f t="shared" ref="AF19:AF20" si="13">AC19-(AD19+AE19)</f>
        <v>26471756.890000004</v>
      </c>
      <c r="AG19" s="94">
        <v>2023</v>
      </c>
      <c r="AH19" s="94">
        <v>2023</v>
      </c>
    </row>
    <row r="20" spans="1:34" ht="109.9" customHeight="1" x14ac:dyDescent="0.35">
      <c r="A20" s="94">
        <v>7</v>
      </c>
      <c r="B20" s="95" t="s">
        <v>25</v>
      </c>
      <c r="C20" s="94" t="s">
        <v>111</v>
      </c>
      <c r="D20" s="94">
        <v>1956</v>
      </c>
      <c r="E20" s="94">
        <v>4</v>
      </c>
      <c r="F20" s="109">
        <v>3658.8</v>
      </c>
      <c r="G20" s="109">
        <v>3312.7</v>
      </c>
      <c r="H20" s="109">
        <v>2449.6</v>
      </c>
      <c r="I20" s="94">
        <v>73</v>
      </c>
      <c r="J20" s="94" t="s">
        <v>27</v>
      </c>
      <c r="K20" s="94" t="s">
        <v>28</v>
      </c>
      <c r="L20" s="19"/>
      <c r="M20" s="102">
        <f t="shared" si="9"/>
        <v>17422184.969999999</v>
      </c>
      <c r="N20" s="102">
        <f t="shared" si="10"/>
        <v>2041451.38</v>
      </c>
      <c r="O20" s="102">
        <f>ROUND(G20*3349.66,2)</f>
        <v>11096418.68</v>
      </c>
      <c r="P20" s="102"/>
      <c r="Q20" s="102">
        <f>ROUND(G20*650.2,2)</f>
        <v>2153917.54</v>
      </c>
      <c r="R20" s="19"/>
      <c r="S20" s="19"/>
      <c r="T20" s="102">
        <f>ROUND(G20*643.1,2)</f>
        <v>2130397.37</v>
      </c>
      <c r="U20" s="19"/>
      <c r="V20" s="19"/>
      <c r="W20" s="19"/>
      <c r="X20" s="19"/>
      <c r="Y20" s="19"/>
      <c r="Z20" s="19"/>
      <c r="AA20" s="102">
        <v>1053721.2</v>
      </c>
      <c r="AB20" s="102">
        <f t="shared" si="11"/>
        <v>261332.77</v>
      </c>
      <c r="AC20" s="102">
        <f t="shared" si="12"/>
        <v>18737238.939999998</v>
      </c>
      <c r="AD20" s="102"/>
      <c r="AE20" s="19"/>
      <c r="AF20" s="102">
        <f t="shared" si="13"/>
        <v>18737238.939999998</v>
      </c>
      <c r="AG20" s="94">
        <v>2023</v>
      </c>
      <c r="AH20" s="94">
        <v>2023</v>
      </c>
    </row>
    <row r="21" spans="1:34" ht="109.9" customHeight="1" x14ac:dyDescent="0.35">
      <c r="A21" s="94">
        <v>8</v>
      </c>
      <c r="B21" s="95" t="s">
        <v>25</v>
      </c>
      <c r="C21" s="94" t="s">
        <v>112</v>
      </c>
      <c r="D21" s="94">
        <v>1973</v>
      </c>
      <c r="E21" s="94">
        <v>5</v>
      </c>
      <c r="F21" s="109">
        <v>4808.2</v>
      </c>
      <c r="G21" s="109">
        <f>4304.4+89.1</f>
        <v>4393.5</v>
      </c>
      <c r="H21" s="109">
        <v>4304.3999999999996</v>
      </c>
      <c r="I21" s="94">
        <v>212</v>
      </c>
      <c r="J21" s="94" t="s">
        <v>27</v>
      </c>
      <c r="K21" s="94" t="s">
        <v>28</v>
      </c>
      <c r="L21" s="19"/>
      <c r="M21" s="102"/>
      <c r="N21" s="19"/>
      <c r="O21" s="19"/>
      <c r="P21" s="19"/>
      <c r="Q21" s="19"/>
      <c r="R21" s="19"/>
      <c r="S21" s="19"/>
      <c r="T21" s="19"/>
      <c r="U21" s="19"/>
      <c r="V21" s="19"/>
      <c r="W21" s="102">
        <f>ROUND(G21*3517.3,2)</f>
        <v>15453257.550000001</v>
      </c>
      <c r="X21" s="19"/>
      <c r="Y21" s="19"/>
      <c r="Z21" s="19"/>
      <c r="AA21" s="102">
        <v>759255.6</v>
      </c>
      <c r="AB21" s="102">
        <f t="shared" si="5"/>
        <v>231798.86</v>
      </c>
      <c r="AC21" s="102">
        <f t="shared" si="8"/>
        <v>16444312.01</v>
      </c>
      <c r="AD21" s="19"/>
      <c r="AE21" s="19"/>
      <c r="AF21" s="102">
        <f t="shared" si="6"/>
        <v>16444312.01</v>
      </c>
      <c r="AG21" s="94">
        <v>2023</v>
      </c>
      <c r="AH21" s="94">
        <v>2023</v>
      </c>
    </row>
    <row r="22" spans="1:34" ht="109.9" customHeight="1" x14ac:dyDescent="0.35">
      <c r="A22" s="94">
        <v>9</v>
      </c>
      <c r="B22" s="95" t="s">
        <v>25</v>
      </c>
      <c r="C22" s="94" t="s">
        <v>113</v>
      </c>
      <c r="D22" s="94">
        <v>1955</v>
      </c>
      <c r="E22" s="94">
        <v>4</v>
      </c>
      <c r="F22" s="109">
        <v>2494.5</v>
      </c>
      <c r="G22" s="109">
        <f>1856+447.4</f>
        <v>2303.4</v>
      </c>
      <c r="H22" s="109">
        <v>1856.8</v>
      </c>
      <c r="I22" s="94">
        <v>54</v>
      </c>
      <c r="J22" s="94" t="s">
        <v>27</v>
      </c>
      <c r="K22" s="94" t="s">
        <v>28</v>
      </c>
      <c r="L22" s="19"/>
      <c r="M22" s="102">
        <f t="shared" ref="M22:M25" si="14">SUM(N22:U22)</f>
        <v>8634893.7799999993</v>
      </c>
      <c r="N22" s="102">
        <f>ROUND(G22*616.25,2)</f>
        <v>1419470.25</v>
      </c>
      <c r="O22" s="102">
        <f>ROUND(G22*871.5,2)</f>
        <v>2007413.1</v>
      </c>
      <c r="P22" s="102"/>
      <c r="Q22" s="102">
        <f t="shared" ref="Q22:Q25" si="15">ROUND(G22*596.38,2)</f>
        <v>1373701.69</v>
      </c>
      <c r="R22" s="102">
        <f t="shared" ref="R22:R25" si="16">ROUND(G22*589.88,2)</f>
        <v>1358729.59</v>
      </c>
      <c r="S22" s="102"/>
      <c r="T22" s="102">
        <f t="shared" ref="T22:T25" si="17">ROUND(G22*1074.75,2)</f>
        <v>2475579.15</v>
      </c>
      <c r="U22" s="19"/>
      <c r="V22" s="19"/>
      <c r="W22" s="19"/>
      <c r="X22" s="102">
        <f t="shared" ref="X22" si="18">ROUND(G22*1954.25,2)</f>
        <v>4501419.45</v>
      </c>
      <c r="Y22" s="102"/>
      <c r="Z22" s="102">
        <f t="shared" ref="Z22" si="19">ROUND(G22*1135.41,2)</f>
        <v>2615303.39</v>
      </c>
      <c r="AA22" s="102">
        <v>1362853.2</v>
      </c>
      <c r="AB22" s="102">
        <f t="shared" si="5"/>
        <v>236274.25</v>
      </c>
      <c r="AC22" s="102">
        <f t="shared" si="8"/>
        <v>17350744.07</v>
      </c>
      <c r="AD22" s="19"/>
      <c r="AE22" s="19"/>
      <c r="AF22" s="102">
        <f t="shared" si="6"/>
        <v>17350744.07</v>
      </c>
      <c r="AG22" s="94">
        <v>2023</v>
      </c>
      <c r="AH22" s="94">
        <v>2023</v>
      </c>
    </row>
    <row r="23" spans="1:34" ht="109.9" customHeight="1" x14ac:dyDescent="0.35">
      <c r="A23" s="94">
        <v>10</v>
      </c>
      <c r="B23" s="95" t="s">
        <v>25</v>
      </c>
      <c r="C23" s="94" t="s">
        <v>114</v>
      </c>
      <c r="D23" s="94">
        <v>1956</v>
      </c>
      <c r="E23" s="94">
        <v>4</v>
      </c>
      <c r="F23" s="109">
        <v>3007.6</v>
      </c>
      <c r="G23" s="109">
        <v>2733.9</v>
      </c>
      <c r="H23" s="109">
        <v>1089.0999999999999</v>
      </c>
      <c r="I23" s="94">
        <v>65</v>
      </c>
      <c r="J23" s="94" t="s">
        <v>27</v>
      </c>
      <c r="K23" s="94" t="s">
        <v>28</v>
      </c>
      <c r="L23" s="19"/>
      <c r="M23" s="102">
        <f>SUM(N23:U23)</f>
        <v>10248734.969999999</v>
      </c>
      <c r="N23" s="102">
        <f t="shared" ref="N23" si="20">ROUND(G23*616.25,2)</f>
        <v>1684765.88</v>
      </c>
      <c r="O23" s="102">
        <f>ROUND(G23*871.5,2)</f>
        <v>2382593.85</v>
      </c>
      <c r="P23" s="102"/>
      <c r="Q23" s="102">
        <f t="shared" si="15"/>
        <v>1630443.28</v>
      </c>
      <c r="R23" s="102">
        <f t="shared" si="16"/>
        <v>1612672.93</v>
      </c>
      <c r="S23" s="102"/>
      <c r="T23" s="102">
        <f t="shared" si="17"/>
        <v>2938259.03</v>
      </c>
      <c r="U23" s="19"/>
      <c r="V23" s="19"/>
      <c r="W23" s="19"/>
      <c r="X23" s="19"/>
      <c r="Y23" s="19"/>
      <c r="Z23" s="19"/>
      <c r="AA23" s="102">
        <v>1026529.2</v>
      </c>
      <c r="AB23" s="102">
        <f>ROUND((M23+V23+W23+X23+Y23+Z23)*0.015,2)</f>
        <v>153731.01999999999</v>
      </c>
      <c r="AC23" s="102">
        <f>SUM(N23:AB23)</f>
        <v>11428995.189999998</v>
      </c>
      <c r="AD23" s="19"/>
      <c r="AE23" s="19"/>
      <c r="AF23" s="102">
        <f>AC23-(AD23+AE23)</f>
        <v>11428995.189999998</v>
      </c>
      <c r="AG23" s="94">
        <v>2023</v>
      </c>
      <c r="AH23" s="94">
        <v>2023</v>
      </c>
    </row>
    <row r="24" spans="1:34" ht="109.9" customHeight="1" x14ac:dyDescent="0.35">
      <c r="A24" s="94">
        <v>11</v>
      </c>
      <c r="B24" s="95" t="s">
        <v>25</v>
      </c>
      <c r="C24" s="94" t="s">
        <v>115</v>
      </c>
      <c r="D24" s="94">
        <v>1957</v>
      </c>
      <c r="E24" s="94">
        <v>4</v>
      </c>
      <c r="F24" s="109">
        <v>2645.9</v>
      </c>
      <c r="G24" s="109">
        <v>2608.3000000000002</v>
      </c>
      <c r="H24" s="109">
        <v>1121.0999999999999</v>
      </c>
      <c r="I24" s="94" t="s">
        <v>26</v>
      </c>
      <c r="J24" s="94" t="s">
        <v>27</v>
      </c>
      <c r="K24" s="94" t="s">
        <v>28</v>
      </c>
      <c r="L24" s="19"/>
      <c r="M24" s="102"/>
      <c r="N24" s="102"/>
      <c r="O24" s="102"/>
      <c r="P24" s="102"/>
      <c r="Q24" s="102"/>
      <c r="R24" s="102"/>
      <c r="S24" s="102"/>
      <c r="T24" s="102"/>
      <c r="U24" s="19"/>
      <c r="V24" s="19"/>
      <c r="W24" s="102">
        <f>ROUND(G24*5975.33,2)</f>
        <v>15585453.24</v>
      </c>
      <c r="X24" s="19"/>
      <c r="Y24" s="19"/>
      <c r="Z24" s="19"/>
      <c r="AA24" s="102">
        <v>1144066.8</v>
      </c>
      <c r="AB24" s="102">
        <f>ROUND((M24+V24+W24+X24+Y24+Z24)*0.015,2)</f>
        <v>233781.8</v>
      </c>
      <c r="AC24" s="102">
        <f>SUM(N24:AB24)</f>
        <v>16963301.84</v>
      </c>
      <c r="AD24" s="19"/>
      <c r="AE24" s="19"/>
      <c r="AF24" s="102">
        <f>AC24</f>
        <v>16963301.84</v>
      </c>
      <c r="AG24" s="94">
        <v>2023</v>
      </c>
      <c r="AH24" s="94">
        <v>2023</v>
      </c>
    </row>
    <row r="25" spans="1:34" ht="109.9" customHeight="1" x14ac:dyDescent="0.35">
      <c r="A25" s="94">
        <v>12</v>
      </c>
      <c r="B25" s="95" t="s">
        <v>25</v>
      </c>
      <c r="C25" s="94" t="s">
        <v>116</v>
      </c>
      <c r="D25" s="94">
        <v>1952</v>
      </c>
      <c r="E25" s="94">
        <v>4</v>
      </c>
      <c r="F25" s="109">
        <v>1204.9000000000001</v>
      </c>
      <c r="G25" s="109">
        <v>1070</v>
      </c>
      <c r="H25" s="109">
        <v>788.9</v>
      </c>
      <c r="I25" s="94" t="s">
        <v>26</v>
      </c>
      <c r="J25" s="94" t="s">
        <v>29</v>
      </c>
      <c r="K25" s="94" t="s">
        <v>28</v>
      </c>
      <c r="L25" s="19"/>
      <c r="M25" s="102">
        <f t="shared" si="14"/>
        <v>8276621.1999999993</v>
      </c>
      <c r="N25" s="102">
        <f>ROUND(G25*616.25,2)</f>
        <v>659387.5</v>
      </c>
      <c r="O25" s="102">
        <f>ROUND(G25*4857.9,2)</f>
        <v>5197953</v>
      </c>
      <c r="P25" s="102"/>
      <c r="Q25" s="102">
        <f t="shared" si="15"/>
        <v>638126.6</v>
      </c>
      <c r="R25" s="102">
        <f t="shared" si="16"/>
        <v>631171.6</v>
      </c>
      <c r="S25" s="19"/>
      <c r="T25" s="102">
        <f t="shared" si="17"/>
        <v>1149982.5</v>
      </c>
      <c r="U25" s="102"/>
      <c r="V25" s="19"/>
      <c r="W25" s="19"/>
      <c r="X25" s="19"/>
      <c r="Y25" s="19"/>
      <c r="Z25" s="19"/>
      <c r="AA25" s="102">
        <v>868537.2</v>
      </c>
      <c r="AB25" s="102">
        <f t="shared" si="5"/>
        <v>124149.32</v>
      </c>
      <c r="AC25" s="102">
        <f t="shared" si="8"/>
        <v>9269307.7199999988</v>
      </c>
      <c r="AD25" s="19"/>
      <c r="AE25" s="19"/>
      <c r="AF25" s="102">
        <f t="shared" si="6"/>
        <v>9269307.7199999988</v>
      </c>
      <c r="AG25" s="94">
        <v>2023</v>
      </c>
      <c r="AH25" s="94">
        <v>2023</v>
      </c>
    </row>
    <row r="26" spans="1:34" ht="109.9" customHeight="1" x14ac:dyDescent="0.35">
      <c r="A26" s="94">
        <v>13</v>
      </c>
      <c r="B26" s="95" t="s">
        <v>25</v>
      </c>
      <c r="C26" s="94" t="s">
        <v>117</v>
      </c>
      <c r="D26" s="94">
        <v>1950</v>
      </c>
      <c r="E26" s="94">
        <v>6</v>
      </c>
      <c r="F26" s="109">
        <v>10110</v>
      </c>
      <c r="G26" s="109">
        <f>6512.7+2588.9</f>
        <v>9101.6</v>
      </c>
      <c r="H26" s="109">
        <v>6521.7</v>
      </c>
      <c r="I26" s="94">
        <v>179</v>
      </c>
      <c r="J26" s="94" t="s">
        <v>27</v>
      </c>
      <c r="K26" s="94" t="s">
        <v>28</v>
      </c>
      <c r="L26" s="19" t="s">
        <v>9</v>
      </c>
      <c r="M26" s="102">
        <f>SUM(N26:U26)</f>
        <v>3077341.98</v>
      </c>
      <c r="N26" s="102"/>
      <c r="O26" s="102"/>
      <c r="P26" s="102"/>
      <c r="Q26" s="19"/>
      <c r="R26" s="19"/>
      <c r="S26" s="19"/>
      <c r="T26" s="19"/>
      <c r="U26" s="102">
        <f>ROUND(G26*338.11,2)</f>
        <v>3077341.98</v>
      </c>
      <c r="V26" s="19"/>
      <c r="W26" s="19"/>
      <c r="X26" s="102">
        <f>ROUND(G26*706.71,2)</f>
        <v>6432191.7400000002</v>
      </c>
      <c r="Y26" s="102"/>
      <c r="Z26" s="102">
        <f>ROUND(G26*1135.41,2)</f>
        <v>10334047.66</v>
      </c>
      <c r="AA26" s="102">
        <v>2843278.8</v>
      </c>
      <c r="AB26" s="102">
        <f t="shared" si="5"/>
        <v>297653.71999999997</v>
      </c>
      <c r="AC26" s="102">
        <f t="shared" si="8"/>
        <v>22984513.900000002</v>
      </c>
      <c r="AD26" s="19"/>
      <c r="AE26" s="19"/>
      <c r="AF26" s="102">
        <f t="shared" si="6"/>
        <v>22984513.900000002</v>
      </c>
      <c r="AG26" s="94">
        <v>2023</v>
      </c>
      <c r="AH26" s="94">
        <v>2023</v>
      </c>
    </row>
    <row r="27" spans="1:34" ht="109.9" customHeight="1" x14ac:dyDescent="0.35">
      <c r="A27" s="94">
        <v>14</v>
      </c>
      <c r="B27" s="95" t="s">
        <v>25</v>
      </c>
      <c r="C27" s="94" t="s">
        <v>118</v>
      </c>
      <c r="D27" s="94">
        <v>1950</v>
      </c>
      <c r="E27" s="94">
        <v>5</v>
      </c>
      <c r="F27" s="109">
        <v>3120.3</v>
      </c>
      <c r="G27" s="109">
        <v>2795</v>
      </c>
      <c r="H27" s="109">
        <v>1139.5999999999999</v>
      </c>
      <c r="I27" s="94">
        <v>68</v>
      </c>
      <c r="J27" s="94" t="s">
        <v>27</v>
      </c>
      <c r="K27" s="94" t="s">
        <v>28</v>
      </c>
      <c r="L27" s="19"/>
      <c r="M27" s="102">
        <f>SUM(N27:U27)</f>
        <v>945017.45</v>
      </c>
      <c r="N27" s="19"/>
      <c r="O27" s="19"/>
      <c r="P27" s="19"/>
      <c r="Q27" s="19"/>
      <c r="R27" s="19"/>
      <c r="S27" s="19"/>
      <c r="T27" s="19"/>
      <c r="U27" s="102">
        <f t="shared" ref="U27" si="21">ROUND(G27*338.11,2)</f>
        <v>945017.45</v>
      </c>
      <c r="V27" s="19"/>
      <c r="W27" s="19"/>
      <c r="X27" s="19"/>
      <c r="Y27" s="19"/>
      <c r="Z27" s="19"/>
      <c r="AA27" s="102">
        <v>653260.80000000005</v>
      </c>
      <c r="AB27" s="102">
        <f t="shared" si="5"/>
        <v>14175.26</v>
      </c>
      <c r="AC27" s="102">
        <f t="shared" si="8"/>
        <v>1612453.51</v>
      </c>
      <c r="AD27" s="19"/>
      <c r="AE27" s="19"/>
      <c r="AF27" s="102">
        <f t="shared" si="6"/>
        <v>1612453.51</v>
      </c>
      <c r="AG27" s="94">
        <v>2023</v>
      </c>
      <c r="AH27" s="94">
        <v>2023</v>
      </c>
    </row>
    <row r="28" spans="1:34" ht="109.9" customHeight="1" x14ac:dyDescent="0.35">
      <c r="A28" s="94">
        <v>15</v>
      </c>
      <c r="B28" s="95" t="s">
        <v>25</v>
      </c>
      <c r="C28" s="94" t="s">
        <v>119</v>
      </c>
      <c r="D28" s="94">
        <v>1951</v>
      </c>
      <c r="E28" s="94">
        <v>6</v>
      </c>
      <c r="F28" s="109">
        <v>10467.6</v>
      </c>
      <c r="G28" s="109">
        <f>6584+2807.4</f>
        <v>9391.4</v>
      </c>
      <c r="H28" s="109">
        <v>6584</v>
      </c>
      <c r="I28" s="94">
        <v>167</v>
      </c>
      <c r="J28" s="94" t="s">
        <v>27</v>
      </c>
      <c r="K28" s="94" t="s">
        <v>28</v>
      </c>
      <c r="L28" s="19" t="s">
        <v>9</v>
      </c>
      <c r="M28" s="102">
        <f>SUM(N28:U28)</f>
        <v>35856177.370000005</v>
      </c>
      <c r="N28" s="102">
        <f>ROUND(G28*616.25,2)</f>
        <v>5787450.25</v>
      </c>
      <c r="O28" s="102">
        <f>ROUND(G28*3201.73,2)</f>
        <v>30068727.120000001</v>
      </c>
      <c r="P28" s="102"/>
      <c r="Q28" s="102"/>
      <c r="R28" s="102"/>
      <c r="S28" s="19"/>
      <c r="T28" s="102"/>
      <c r="U28" s="19"/>
      <c r="V28" s="19"/>
      <c r="W28" s="19"/>
      <c r="X28" s="102">
        <v>8135112.4199999999</v>
      </c>
      <c r="Y28" s="19"/>
      <c r="Z28" s="102">
        <v>10663089.470000001</v>
      </c>
      <c r="AA28" s="102">
        <v>3369510</v>
      </c>
      <c r="AB28" s="102">
        <f>ROUND((N28+O28+V28+W28+X28+Y28+Z28)*0.015,2)</f>
        <v>819815.69</v>
      </c>
      <c r="AC28" s="102">
        <f t="shared" si="8"/>
        <v>58843704.950000003</v>
      </c>
      <c r="AD28" s="102"/>
      <c r="AE28" s="102"/>
      <c r="AF28" s="102">
        <f t="shared" si="6"/>
        <v>58843704.950000003</v>
      </c>
      <c r="AG28" s="94">
        <v>2023</v>
      </c>
      <c r="AH28" s="94">
        <v>2023</v>
      </c>
    </row>
    <row r="29" spans="1:34" ht="109.9" customHeight="1" x14ac:dyDescent="0.35">
      <c r="A29" s="94">
        <v>16</v>
      </c>
      <c r="B29" s="95" t="s">
        <v>25</v>
      </c>
      <c r="C29" s="94" t="s">
        <v>120</v>
      </c>
      <c r="D29" s="94">
        <v>1972</v>
      </c>
      <c r="E29" s="94">
        <v>9</v>
      </c>
      <c r="F29" s="109">
        <v>4577</v>
      </c>
      <c r="G29" s="109">
        <f>3908+34.2</f>
        <v>3942.2</v>
      </c>
      <c r="H29" s="109">
        <v>3908</v>
      </c>
      <c r="I29" s="94">
        <v>167</v>
      </c>
      <c r="J29" s="94" t="s">
        <v>27</v>
      </c>
      <c r="K29" s="94" t="s">
        <v>28</v>
      </c>
      <c r="L29" s="19"/>
      <c r="M29" s="102"/>
      <c r="N29" s="19"/>
      <c r="O29" s="19"/>
      <c r="P29" s="19"/>
      <c r="Q29" s="19"/>
      <c r="R29" s="19"/>
      <c r="S29" s="19"/>
      <c r="T29" s="19"/>
      <c r="U29" s="19"/>
      <c r="V29" s="19"/>
      <c r="W29" s="102">
        <f>ROUND(G29*1914.17,2)</f>
        <v>7546040.9699999997</v>
      </c>
      <c r="X29" s="102"/>
      <c r="Y29" s="19"/>
      <c r="Z29" s="102"/>
      <c r="AA29" s="102">
        <v>1114467.6000000001</v>
      </c>
      <c r="AB29" s="102">
        <f t="shared" si="5"/>
        <v>113190.61</v>
      </c>
      <c r="AC29" s="102">
        <f t="shared" si="8"/>
        <v>8773699.1799999997</v>
      </c>
      <c r="AD29" s="19"/>
      <c r="AE29" s="19"/>
      <c r="AF29" s="102">
        <f t="shared" si="6"/>
        <v>8773699.1799999997</v>
      </c>
      <c r="AG29" s="94">
        <v>2023</v>
      </c>
      <c r="AH29" s="94">
        <v>2023</v>
      </c>
    </row>
    <row r="30" spans="1:34" ht="109.9" customHeight="1" x14ac:dyDescent="0.35">
      <c r="A30" s="94">
        <v>17</v>
      </c>
      <c r="B30" s="95" t="s">
        <v>25</v>
      </c>
      <c r="C30" s="94" t="s">
        <v>121</v>
      </c>
      <c r="D30" s="94">
        <v>1973</v>
      </c>
      <c r="E30" s="94">
        <v>9</v>
      </c>
      <c r="F30" s="109">
        <v>12825.2</v>
      </c>
      <c r="G30" s="109">
        <f>10958.1+328.3</f>
        <v>11286.4</v>
      </c>
      <c r="H30" s="109">
        <v>10958.1</v>
      </c>
      <c r="I30" s="94" t="s">
        <v>30</v>
      </c>
      <c r="J30" s="94" t="s">
        <v>27</v>
      </c>
      <c r="K30" s="94" t="s">
        <v>28</v>
      </c>
      <c r="L30" s="19"/>
      <c r="M30" s="102"/>
      <c r="N30" s="19"/>
      <c r="O30" s="19"/>
      <c r="P30" s="19"/>
      <c r="Q30" s="19"/>
      <c r="R30" s="19"/>
      <c r="S30" s="19"/>
      <c r="T30" s="19"/>
      <c r="U30" s="19"/>
      <c r="V30" s="19"/>
      <c r="W30" s="102">
        <f>ROUND(G30*1914.17,2)</f>
        <v>21604088.289999999</v>
      </c>
      <c r="X30" s="19"/>
      <c r="Y30" s="19"/>
      <c r="Z30" s="19"/>
      <c r="AA30" s="102">
        <v>1476280.8</v>
      </c>
      <c r="AB30" s="102">
        <f t="shared" si="5"/>
        <v>324061.32</v>
      </c>
      <c r="AC30" s="102">
        <f t="shared" si="8"/>
        <v>23404430.41</v>
      </c>
      <c r="AD30" s="19"/>
      <c r="AE30" s="19"/>
      <c r="AF30" s="102">
        <f t="shared" si="6"/>
        <v>23404430.41</v>
      </c>
      <c r="AG30" s="94">
        <v>2023</v>
      </c>
      <c r="AH30" s="94">
        <v>2023</v>
      </c>
    </row>
    <row r="31" spans="1:34" ht="109.9" customHeight="1" x14ac:dyDescent="0.35">
      <c r="A31" s="94">
        <v>18</v>
      </c>
      <c r="B31" s="95" t="s">
        <v>25</v>
      </c>
      <c r="C31" s="94" t="s">
        <v>122</v>
      </c>
      <c r="D31" s="94">
        <v>1949</v>
      </c>
      <c r="E31" s="94">
        <v>2</v>
      </c>
      <c r="F31" s="109">
        <v>930.4</v>
      </c>
      <c r="G31" s="109">
        <v>930.4</v>
      </c>
      <c r="H31" s="109">
        <v>930.4</v>
      </c>
      <c r="I31" s="94">
        <v>14</v>
      </c>
      <c r="J31" s="94" t="s">
        <v>27</v>
      </c>
      <c r="K31" s="94" t="s">
        <v>28</v>
      </c>
      <c r="L31" s="19"/>
      <c r="M31" s="102"/>
      <c r="N31" s="19"/>
      <c r="O31" s="19"/>
      <c r="P31" s="19"/>
      <c r="Q31" s="19"/>
      <c r="R31" s="19"/>
      <c r="S31" s="19"/>
      <c r="T31" s="19"/>
      <c r="U31" s="19"/>
      <c r="V31" s="19"/>
      <c r="W31" s="102"/>
      <c r="X31" s="19"/>
      <c r="Y31" s="102">
        <f>ROUND(G31*6480.9,2)</f>
        <v>6029829.3600000003</v>
      </c>
      <c r="Z31" s="19"/>
      <c r="AA31" s="102">
        <v>377221.2</v>
      </c>
      <c r="AB31" s="102">
        <f t="shared" si="5"/>
        <v>90447.44</v>
      </c>
      <c r="AC31" s="102">
        <f t="shared" si="8"/>
        <v>6497498.0000000009</v>
      </c>
      <c r="AD31" s="19"/>
      <c r="AE31" s="19"/>
      <c r="AF31" s="102">
        <f t="shared" si="6"/>
        <v>6497498.0000000009</v>
      </c>
      <c r="AG31" s="94">
        <v>2023</v>
      </c>
      <c r="AH31" s="94">
        <v>2023</v>
      </c>
    </row>
    <row r="32" spans="1:34" ht="109.9" customHeight="1" x14ac:dyDescent="0.35">
      <c r="A32" s="94">
        <v>19</v>
      </c>
      <c r="B32" s="95" t="s">
        <v>25</v>
      </c>
      <c r="C32" s="94" t="s">
        <v>123</v>
      </c>
      <c r="D32" s="94">
        <v>1972</v>
      </c>
      <c r="E32" s="94">
        <v>5</v>
      </c>
      <c r="F32" s="109">
        <v>3198.3</v>
      </c>
      <c r="G32" s="109">
        <f>2700.3+225.5</f>
        <v>2925.8</v>
      </c>
      <c r="H32" s="109">
        <v>2700.3</v>
      </c>
      <c r="I32" s="94" t="s">
        <v>31</v>
      </c>
      <c r="J32" s="94" t="s">
        <v>27</v>
      </c>
      <c r="K32" s="94" t="s">
        <v>28</v>
      </c>
      <c r="L32" s="19"/>
      <c r="M32" s="102"/>
      <c r="N32" s="19"/>
      <c r="O32" s="19"/>
      <c r="P32" s="19"/>
      <c r="Q32" s="19"/>
      <c r="R32" s="19"/>
      <c r="S32" s="19"/>
      <c r="T32" s="19"/>
      <c r="U32" s="19"/>
      <c r="V32" s="19"/>
      <c r="W32" s="102">
        <f>ROUND(G32*3517.3,2)</f>
        <v>10290916.34</v>
      </c>
      <c r="X32" s="19"/>
      <c r="Y32" s="19"/>
      <c r="Z32" s="102"/>
      <c r="AA32" s="102">
        <v>692727.6</v>
      </c>
      <c r="AB32" s="102">
        <f t="shared" si="5"/>
        <v>154363.75</v>
      </c>
      <c r="AC32" s="102">
        <f t="shared" si="8"/>
        <v>11138007.689999999</v>
      </c>
      <c r="AD32" s="19"/>
      <c r="AE32" s="19"/>
      <c r="AF32" s="102">
        <f t="shared" si="6"/>
        <v>11138007.689999999</v>
      </c>
      <c r="AG32" s="94">
        <v>2023</v>
      </c>
      <c r="AH32" s="94">
        <v>2023</v>
      </c>
    </row>
    <row r="33" spans="1:34" ht="109.9" customHeight="1" x14ac:dyDescent="0.35">
      <c r="A33" s="94">
        <v>20</v>
      </c>
      <c r="B33" s="95" t="s">
        <v>25</v>
      </c>
      <c r="C33" s="94" t="s">
        <v>124</v>
      </c>
      <c r="D33" s="94">
        <v>1972</v>
      </c>
      <c r="E33" s="94">
        <v>5</v>
      </c>
      <c r="F33" s="109">
        <v>5181.1000000000004</v>
      </c>
      <c r="G33" s="109">
        <f>3957.5+750.7</f>
        <v>4708.2</v>
      </c>
      <c r="H33" s="109">
        <v>3957.5</v>
      </c>
      <c r="I33" s="94" t="s">
        <v>32</v>
      </c>
      <c r="J33" s="94" t="s">
        <v>27</v>
      </c>
      <c r="K33" s="94" t="s">
        <v>28</v>
      </c>
      <c r="L33" s="19"/>
      <c r="M33" s="102"/>
      <c r="N33" s="19"/>
      <c r="O33" s="19"/>
      <c r="P33" s="19"/>
      <c r="Q33" s="19"/>
      <c r="R33" s="19"/>
      <c r="S33" s="19"/>
      <c r="T33" s="19"/>
      <c r="U33" s="19"/>
      <c r="V33" s="19"/>
      <c r="W33" s="102">
        <f>ROUND(G33*3517.3,2)</f>
        <v>16560151.859999999</v>
      </c>
      <c r="X33" s="19"/>
      <c r="Y33" s="19"/>
      <c r="Z33" s="102"/>
      <c r="AA33" s="102">
        <v>784846.8</v>
      </c>
      <c r="AB33" s="102">
        <f t="shared" si="5"/>
        <v>248402.28</v>
      </c>
      <c r="AC33" s="102">
        <f t="shared" si="8"/>
        <v>17593400.940000001</v>
      </c>
      <c r="AD33" s="19"/>
      <c r="AE33" s="19"/>
      <c r="AF33" s="102">
        <f t="shared" si="6"/>
        <v>17593400.940000001</v>
      </c>
      <c r="AG33" s="94">
        <v>2023</v>
      </c>
      <c r="AH33" s="94">
        <v>2023</v>
      </c>
    </row>
    <row r="34" spans="1:34" ht="109.9" customHeight="1" x14ac:dyDescent="0.35">
      <c r="A34" s="94">
        <v>21</v>
      </c>
      <c r="B34" s="95" t="s">
        <v>25</v>
      </c>
      <c r="C34" s="94" t="s">
        <v>125</v>
      </c>
      <c r="D34" s="94">
        <v>1971</v>
      </c>
      <c r="E34" s="94">
        <v>5</v>
      </c>
      <c r="F34" s="109">
        <v>6400.9</v>
      </c>
      <c r="G34" s="109">
        <v>5822.5</v>
      </c>
      <c r="H34" s="109">
        <v>5792</v>
      </c>
      <c r="I34" s="94" t="s">
        <v>33</v>
      </c>
      <c r="J34" s="94" t="s">
        <v>27</v>
      </c>
      <c r="K34" s="94" t="s">
        <v>28</v>
      </c>
      <c r="L34" s="19"/>
      <c r="M34" s="102"/>
      <c r="N34" s="19"/>
      <c r="O34" s="19"/>
      <c r="P34" s="19"/>
      <c r="Q34" s="19"/>
      <c r="R34" s="19"/>
      <c r="S34" s="19"/>
      <c r="T34" s="19"/>
      <c r="U34" s="19"/>
      <c r="V34" s="19"/>
      <c r="W34" s="102">
        <f>ROUND(G34*3517.3,2)</f>
        <v>20479479.25</v>
      </c>
      <c r="X34" s="19"/>
      <c r="Y34" s="19"/>
      <c r="Z34" s="102"/>
      <c r="AA34" s="102">
        <v>825242.4</v>
      </c>
      <c r="AB34" s="102">
        <f t="shared" si="5"/>
        <v>307192.19</v>
      </c>
      <c r="AC34" s="102">
        <f t="shared" si="8"/>
        <v>21611913.84</v>
      </c>
      <c r="AD34" s="19"/>
      <c r="AE34" s="19"/>
      <c r="AF34" s="102">
        <f t="shared" si="6"/>
        <v>21611913.84</v>
      </c>
      <c r="AG34" s="94">
        <v>2023</v>
      </c>
      <c r="AH34" s="94">
        <v>2023</v>
      </c>
    </row>
    <row r="35" spans="1:34" ht="109.9" customHeight="1" x14ac:dyDescent="0.35">
      <c r="A35" s="94">
        <v>22</v>
      </c>
      <c r="B35" s="95" t="s">
        <v>25</v>
      </c>
      <c r="C35" s="94" t="s">
        <v>126</v>
      </c>
      <c r="D35" s="94">
        <v>1986</v>
      </c>
      <c r="E35" s="94">
        <v>9</v>
      </c>
      <c r="F35" s="109">
        <v>9097.7000000000007</v>
      </c>
      <c r="G35" s="109">
        <f>7813.6+127.2</f>
        <v>7940.8</v>
      </c>
      <c r="H35" s="109">
        <v>7813.6</v>
      </c>
      <c r="I35" s="94">
        <v>298</v>
      </c>
      <c r="J35" s="94" t="s">
        <v>27</v>
      </c>
      <c r="K35" s="94" t="s">
        <v>28</v>
      </c>
      <c r="L35" s="19"/>
      <c r="M35" s="102"/>
      <c r="N35" s="19"/>
      <c r="O35" s="19"/>
      <c r="P35" s="19"/>
      <c r="Q35" s="19"/>
      <c r="R35" s="19"/>
      <c r="S35" s="19"/>
      <c r="T35" s="19"/>
      <c r="U35" s="19"/>
      <c r="V35" s="19"/>
      <c r="W35" s="102">
        <f>ROUND(G35*1914.17,2)</f>
        <v>15200041.140000001</v>
      </c>
      <c r="X35" s="19"/>
      <c r="Y35" s="19"/>
      <c r="Z35" s="102"/>
      <c r="AA35" s="102">
        <v>1290904.8</v>
      </c>
      <c r="AB35" s="102">
        <f t="shared" si="5"/>
        <v>228000.62</v>
      </c>
      <c r="AC35" s="102">
        <f t="shared" si="8"/>
        <v>16718946.560000001</v>
      </c>
      <c r="AD35" s="19"/>
      <c r="AE35" s="19"/>
      <c r="AF35" s="102">
        <f t="shared" si="6"/>
        <v>16718946.560000001</v>
      </c>
      <c r="AG35" s="94">
        <v>2023</v>
      </c>
      <c r="AH35" s="94">
        <v>2023</v>
      </c>
    </row>
    <row r="36" spans="1:34" ht="109.9" customHeight="1" x14ac:dyDescent="0.35">
      <c r="A36" s="94">
        <v>23</v>
      </c>
      <c r="B36" s="95" t="s">
        <v>25</v>
      </c>
      <c r="C36" s="94" t="s">
        <v>127</v>
      </c>
      <c r="D36" s="94">
        <v>1972</v>
      </c>
      <c r="E36" s="94">
        <v>5</v>
      </c>
      <c r="F36" s="109">
        <v>3491.7</v>
      </c>
      <c r="G36" s="109">
        <v>3181.7</v>
      </c>
      <c r="H36" s="109">
        <v>2671.3</v>
      </c>
      <c r="I36" s="94" t="s">
        <v>34</v>
      </c>
      <c r="J36" s="94" t="s">
        <v>27</v>
      </c>
      <c r="K36" s="94" t="s">
        <v>28</v>
      </c>
      <c r="L36" s="19"/>
      <c r="M36" s="102"/>
      <c r="N36" s="19"/>
      <c r="O36" s="19"/>
      <c r="P36" s="19"/>
      <c r="Q36" s="19"/>
      <c r="R36" s="19"/>
      <c r="S36" s="19"/>
      <c r="T36" s="19"/>
      <c r="U36" s="19"/>
      <c r="V36" s="19"/>
      <c r="W36" s="102">
        <f>ROUND(G36*3517.3,2)</f>
        <v>11190993.41</v>
      </c>
      <c r="X36" s="19"/>
      <c r="Y36" s="102"/>
      <c r="Z36" s="19"/>
      <c r="AA36" s="102">
        <v>708530.4</v>
      </c>
      <c r="AB36" s="102">
        <f t="shared" si="5"/>
        <v>167864.9</v>
      </c>
      <c r="AC36" s="102">
        <f t="shared" si="8"/>
        <v>12067388.710000001</v>
      </c>
      <c r="AD36" s="19"/>
      <c r="AE36" s="19"/>
      <c r="AF36" s="102">
        <f t="shared" si="6"/>
        <v>12067388.710000001</v>
      </c>
      <c r="AG36" s="94">
        <v>2023</v>
      </c>
      <c r="AH36" s="94">
        <v>2023</v>
      </c>
    </row>
    <row r="37" spans="1:34" ht="109.9" customHeight="1" x14ac:dyDescent="0.35">
      <c r="A37" s="94">
        <v>24</v>
      </c>
      <c r="B37" s="95" t="s">
        <v>25</v>
      </c>
      <c r="C37" s="94" t="s">
        <v>128</v>
      </c>
      <c r="D37" s="94">
        <v>1975</v>
      </c>
      <c r="E37" s="94">
        <v>9</v>
      </c>
      <c r="F37" s="109">
        <v>4542.8999999999996</v>
      </c>
      <c r="G37" s="109">
        <f>3829.9+79.7</f>
        <v>3909.6</v>
      </c>
      <c r="H37" s="109">
        <v>3829.9</v>
      </c>
      <c r="I37" s="94">
        <v>139</v>
      </c>
      <c r="J37" s="94" t="s">
        <v>27</v>
      </c>
      <c r="K37" s="94" t="s">
        <v>28</v>
      </c>
      <c r="L37" s="19"/>
      <c r="M37" s="102"/>
      <c r="N37" s="19"/>
      <c r="O37" s="19"/>
      <c r="P37" s="19"/>
      <c r="Q37" s="19"/>
      <c r="R37" s="19"/>
      <c r="S37" s="19"/>
      <c r="T37" s="19"/>
      <c r="U37" s="19"/>
      <c r="V37" s="19"/>
      <c r="W37" s="102">
        <f>ROUND(G37*1914.17,2)</f>
        <v>7483639.0300000003</v>
      </c>
      <c r="X37" s="19"/>
      <c r="Y37" s="19"/>
      <c r="Z37" s="19"/>
      <c r="AA37" s="102">
        <v>1115485.2</v>
      </c>
      <c r="AB37" s="102">
        <f t="shared" si="5"/>
        <v>112254.59</v>
      </c>
      <c r="AC37" s="102">
        <f t="shared" si="8"/>
        <v>8711378.8200000003</v>
      </c>
      <c r="AD37" s="19"/>
      <c r="AE37" s="19"/>
      <c r="AF37" s="102">
        <f t="shared" si="6"/>
        <v>8711378.8200000003</v>
      </c>
      <c r="AG37" s="94">
        <v>2023</v>
      </c>
      <c r="AH37" s="94">
        <v>2023</v>
      </c>
    </row>
    <row r="38" spans="1:34" ht="109.9" customHeight="1" x14ac:dyDescent="0.35">
      <c r="A38" s="94">
        <v>25</v>
      </c>
      <c r="B38" s="95" t="s">
        <v>25</v>
      </c>
      <c r="C38" s="94" t="s">
        <v>129</v>
      </c>
      <c r="D38" s="94">
        <v>1954</v>
      </c>
      <c r="E38" s="94">
        <v>5</v>
      </c>
      <c r="F38" s="109">
        <v>4124.7</v>
      </c>
      <c r="G38" s="109">
        <v>3893.6</v>
      </c>
      <c r="H38" s="109" t="s">
        <v>35</v>
      </c>
      <c r="I38" s="94" t="s">
        <v>36</v>
      </c>
      <c r="J38" s="94" t="s">
        <v>27</v>
      </c>
      <c r="K38" s="94" t="s">
        <v>28</v>
      </c>
      <c r="L38" s="19"/>
      <c r="M38" s="102">
        <f>SUM(N38:U38)</f>
        <v>22445202.310000002</v>
      </c>
      <c r="N38" s="102">
        <f>ROUND(G38*616.25,2)</f>
        <v>2399431</v>
      </c>
      <c r="O38" s="102">
        <f>ROUND(G38*3201.73,2)</f>
        <v>12466255.93</v>
      </c>
      <c r="P38" s="102"/>
      <c r="Q38" s="102">
        <f>ROUND(G38*620.83,2)</f>
        <v>2417263.69</v>
      </c>
      <c r="R38" s="102">
        <f>ROUND(G38*660.21,2)</f>
        <v>2570593.66</v>
      </c>
      <c r="S38" s="102"/>
      <c r="T38" s="102">
        <f>ROUND(G38*665.62,2)</f>
        <v>2591658.0299999998</v>
      </c>
      <c r="U38" s="19"/>
      <c r="V38" s="19"/>
      <c r="W38" s="19"/>
      <c r="X38" s="102">
        <f>ROUND(G38*706.71,2)</f>
        <v>2751646.06</v>
      </c>
      <c r="Y38" s="102">
        <f>ROUND(G38*3435.59,2)</f>
        <v>13376813.220000001</v>
      </c>
      <c r="Z38" s="102">
        <f>ROUND(G38*1135.41,2)</f>
        <v>4420832.38</v>
      </c>
      <c r="AA38" s="102">
        <v>2304175.2000000002</v>
      </c>
      <c r="AB38" s="102">
        <f>ROUND((M38+V38+W38+X38+Y38+Z38)*0.015,2)</f>
        <v>644917.41</v>
      </c>
      <c r="AC38" s="102">
        <f>SUM(N38:AB38)</f>
        <v>45943586.580000006</v>
      </c>
      <c r="AD38" s="19"/>
      <c r="AE38" s="19"/>
      <c r="AF38" s="102">
        <f>AC38-(AD38+AE38)</f>
        <v>45943586.580000006</v>
      </c>
      <c r="AG38" s="94">
        <v>2023</v>
      </c>
      <c r="AH38" s="94">
        <v>2023</v>
      </c>
    </row>
    <row r="39" spans="1:34" ht="109.9" customHeight="1" x14ac:dyDescent="0.35">
      <c r="A39" s="94">
        <v>26</v>
      </c>
      <c r="B39" s="95" t="s">
        <v>25</v>
      </c>
      <c r="C39" s="94" t="s">
        <v>130</v>
      </c>
      <c r="D39" s="94">
        <v>1963</v>
      </c>
      <c r="E39" s="94">
        <v>5</v>
      </c>
      <c r="F39" s="109">
        <v>3563.7</v>
      </c>
      <c r="G39" s="109">
        <v>3533.2</v>
      </c>
      <c r="H39" s="109">
        <v>3533.2</v>
      </c>
      <c r="I39" s="94">
        <v>196</v>
      </c>
      <c r="J39" s="94" t="s">
        <v>27</v>
      </c>
      <c r="K39" s="94" t="s">
        <v>28</v>
      </c>
      <c r="L39" s="19"/>
      <c r="M39" s="102"/>
      <c r="N39" s="102"/>
      <c r="O39" s="102"/>
      <c r="P39" s="102"/>
      <c r="Q39" s="102"/>
      <c r="R39" s="102"/>
      <c r="S39" s="19"/>
      <c r="T39" s="102"/>
      <c r="U39" s="19"/>
      <c r="V39" s="19"/>
      <c r="W39" s="19"/>
      <c r="X39" s="102"/>
      <c r="Y39" s="102">
        <f>ROUND(G39*3170.13,2)</f>
        <v>11200703.32</v>
      </c>
      <c r="Z39" s="102"/>
      <c r="AA39" s="102">
        <v>937663.2</v>
      </c>
      <c r="AB39" s="102">
        <f t="shared" si="5"/>
        <v>168010.55</v>
      </c>
      <c r="AC39" s="102">
        <f t="shared" si="8"/>
        <v>12306377.07</v>
      </c>
      <c r="AD39" s="19"/>
      <c r="AE39" s="19"/>
      <c r="AF39" s="102">
        <f t="shared" si="6"/>
        <v>12306377.07</v>
      </c>
      <c r="AG39" s="94">
        <v>2023</v>
      </c>
      <c r="AH39" s="94">
        <v>2023</v>
      </c>
    </row>
    <row r="40" spans="1:34" ht="109.9" customHeight="1" x14ac:dyDescent="0.35">
      <c r="A40" s="94">
        <v>27</v>
      </c>
      <c r="B40" s="95" t="s">
        <v>25</v>
      </c>
      <c r="C40" s="94" t="s">
        <v>131</v>
      </c>
      <c r="D40" s="94">
        <v>1965</v>
      </c>
      <c r="E40" s="94">
        <v>5</v>
      </c>
      <c r="F40" s="109">
        <v>1744.3</v>
      </c>
      <c r="G40" s="109">
        <v>1614.1</v>
      </c>
      <c r="H40" s="109">
        <v>1481.6</v>
      </c>
      <c r="I40" s="94">
        <v>71</v>
      </c>
      <c r="J40" s="94" t="s">
        <v>27</v>
      </c>
      <c r="K40" s="94" t="s">
        <v>28</v>
      </c>
      <c r="L40" s="19"/>
      <c r="M40" s="102"/>
      <c r="N40" s="102"/>
      <c r="O40" s="102"/>
      <c r="P40" s="102"/>
      <c r="Q40" s="102"/>
      <c r="R40" s="102"/>
      <c r="S40" s="19"/>
      <c r="T40" s="102"/>
      <c r="U40" s="19"/>
      <c r="V40" s="19"/>
      <c r="W40" s="19"/>
      <c r="X40" s="102"/>
      <c r="Y40" s="102">
        <f>ROUND(G40*3284.11,2)</f>
        <v>5300881.95</v>
      </c>
      <c r="Z40" s="102"/>
      <c r="AA40" s="102">
        <v>794210.4</v>
      </c>
      <c r="AB40" s="102">
        <f t="shared" si="5"/>
        <v>79513.23</v>
      </c>
      <c r="AC40" s="102">
        <f t="shared" si="8"/>
        <v>6174605.580000001</v>
      </c>
      <c r="AD40" s="19"/>
      <c r="AE40" s="19"/>
      <c r="AF40" s="102">
        <f t="shared" si="6"/>
        <v>6174605.580000001</v>
      </c>
      <c r="AG40" s="94">
        <v>2023</v>
      </c>
      <c r="AH40" s="94">
        <v>2023</v>
      </c>
    </row>
    <row r="41" spans="1:34" ht="109.9" customHeight="1" x14ac:dyDescent="0.35">
      <c r="A41" s="94">
        <v>28</v>
      </c>
      <c r="B41" s="95" t="s">
        <v>25</v>
      </c>
      <c r="C41" s="94" t="s">
        <v>132</v>
      </c>
      <c r="D41" s="94">
        <v>1953</v>
      </c>
      <c r="E41" s="94">
        <v>4</v>
      </c>
      <c r="F41" s="109">
        <v>2275.4</v>
      </c>
      <c r="G41" s="109">
        <v>2271.1</v>
      </c>
      <c r="H41" s="109">
        <v>1405.4</v>
      </c>
      <c r="I41" s="94">
        <v>41</v>
      </c>
      <c r="J41" s="94" t="s">
        <v>27</v>
      </c>
      <c r="K41" s="94" t="s">
        <v>28</v>
      </c>
      <c r="L41" s="19"/>
      <c r="M41" s="102">
        <f t="shared" ref="M41" si="22">SUM(N41:U41)</f>
        <v>8513808.8499999996</v>
      </c>
      <c r="N41" s="102">
        <f>ROUND(G41*616.25,2)</f>
        <v>1399565.38</v>
      </c>
      <c r="O41" s="102">
        <f>ROUND(G41*871.5,2)</f>
        <v>1979263.65</v>
      </c>
      <c r="P41" s="102"/>
      <c r="Q41" s="102">
        <f t="shared" ref="Q41" si="23">ROUND(G41*596.38,2)</f>
        <v>1354438.62</v>
      </c>
      <c r="R41" s="102">
        <f t="shared" ref="R41" si="24">ROUND(G41*589.88,2)</f>
        <v>1339676.47</v>
      </c>
      <c r="S41" s="102"/>
      <c r="T41" s="102">
        <f t="shared" ref="T41" si="25">ROUND(G41*1074.75,2)</f>
        <v>2440864.73</v>
      </c>
      <c r="U41" s="102"/>
      <c r="V41" s="19"/>
      <c r="W41" s="19"/>
      <c r="X41" s="19">
        <v>4438297.18</v>
      </c>
      <c r="Y41" s="102">
        <f>ROUND(G41*2647.87,2)</f>
        <v>6013577.5599999996</v>
      </c>
      <c r="Z41" s="102">
        <f t="shared" ref="Z41" si="26">ROUND(G41*1135.41,2)</f>
        <v>2578629.65</v>
      </c>
      <c r="AA41" s="102">
        <f>372987.6+1539877.2</f>
        <v>1912864.7999999998</v>
      </c>
      <c r="AB41" s="102">
        <f t="shared" si="5"/>
        <v>323164.7</v>
      </c>
      <c r="AC41" s="102">
        <f t="shared" si="8"/>
        <v>23780342.739999998</v>
      </c>
      <c r="AD41" s="19"/>
      <c r="AE41" s="19"/>
      <c r="AF41" s="102">
        <f t="shared" si="6"/>
        <v>23780342.739999998</v>
      </c>
      <c r="AG41" s="94">
        <v>2023</v>
      </c>
      <c r="AH41" s="94">
        <v>2023</v>
      </c>
    </row>
    <row r="42" spans="1:34" ht="109.9" customHeight="1" x14ac:dyDescent="0.35">
      <c r="A42" s="94">
        <v>29</v>
      </c>
      <c r="B42" s="95" t="s">
        <v>25</v>
      </c>
      <c r="C42" s="94" t="s">
        <v>202</v>
      </c>
      <c r="D42" s="94">
        <v>1971</v>
      </c>
      <c r="E42" s="94">
        <v>5</v>
      </c>
      <c r="F42" s="109">
        <v>2745.7</v>
      </c>
      <c r="G42" s="109">
        <v>2728.5</v>
      </c>
      <c r="H42" s="109">
        <v>2716.1</v>
      </c>
      <c r="I42" s="94">
        <v>152</v>
      </c>
      <c r="J42" s="94" t="s">
        <v>27</v>
      </c>
      <c r="K42" s="94" t="s">
        <v>28</v>
      </c>
      <c r="L42" s="19"/>
      <c r="M42" s="102"/>
      <c r="N42" s="102"/>
      <c r="O42" s="102"/>
      <c r="P42" s="102"/>
      <c r="Q42" s="102"/>
      <c r="R42" s="102"/>
      <c r="S42" s="19"/>
      <c r="T42" s="102"/>
      <c r="U42" s="19"/>
      <c r="V42" s="19"/>
      <c r="W42" s="19"/>
      <c r="X42" s="19"/>
      <c r="Y42" s="102">
        <f>ROUND(G42*3170.13,2)</f>
        <v>8649699.7100000009</v>
      </c>
      <c r="Z42" s="19"/>
      <c r="AA42" s="102">
        <v>877893.6</v>
      </c>
      <c r="AB42" s="102">
        <f t="shared" si="5"/>
        <v>129745.5</v>
      </c>
      <c r="AC42" s="102">
        <f t="shared" si="8"/>
        <v>9657338.8100000005</v>
      </c>
      <c r="AD42" s="19"/>
      <c r="AE42" s="19"/>
      <c r="AF42" s="102">
        <f t="shared" si="6"/>
        <v>9657338.8100000005</v>
      </c>
      <c r="AG42" s="94">
        <v>2023</v>
      </c>
      <c r="AH42" s="94">
        <v>2023</v>
      </c>
    </row>
    <row r="43" spans="1:34" ht="109.9" customHeight="1" x14ac:dyDescent="0.35">
      <c r="A43" s="132" t="s">
        <v>133</v>
      </c>
      <c r="B43" s="133"/>
      <c r="C43" s="134"/>
      <c r="D43" s="94"/>
      <c r="E43" s="94"/>
      <c r="F43" s="109">
        <f>SUM(F14:F42)</f>
        <v>125246.99999999999</v>
      </c>
      <c r="G43" s="109">
        <f>SUM(G14:G42)</f>
        <v>112129.20000000001</v>
      </c>
      <c r="H43" s="109"/>
      <c r="I43" s="94"/>
      <c r="J43" s="94"/>
      <c r="K43" s="94"/>
      <c r="L43" s="94"/>
      <c r="M43" s="102">
        <f>SUM(M14:M42)</f>
        <v>173563215.52000001</v>
      </c>
      <c r="N43" s="102">
        <f>SUM(N14:N42)</f>
        <v>21536273.649999999</v>
      </c>
      <c r="O43" s="102">
        <f>SUM(O14:O42)</f>
        <v>96508579.830000013</v>
      </c>
      <c r="P43" s="102"/>
      <c r="Q43" s="102">
        <f>SUM(Q14:Q42)</f>
        <v>15658910.039999999</v>
      </c>
      <c r="R43" s="102">
        <f>SUM(R14:R42)</f>
        <v>13810003.59</v>
      </c>
      <c r="S43" s="102"/>
      <c r="T43" s="102">
        <f>SUM(T14:T42)</f>
        <v>22027088.98</v>
      </c>
      <c r="U43" s="102">
        <f>SUM(U14:U42)</f>
        <v>4022359.4299999997</v>
      </c>
      <c r="V43" s="102"/>
      <c r="W43" s="102">
        <f t="shared" ref="W43:AC43" si="27">SUM(W14:W42)</f>
        <v>147198815.25999999</v>
      </c>
      <c r="X43" s="102">
        <f t="shared" si="27"/>
        <v>28924850.129999999</v>
      </c>
      <c r="Y43" s="102">
        <f t="shared" si="27"/>
        <v>69748771.530000001</v>
      </c>
      <c r="Z43" s="102">
        <f t="shared" si="27"/>
        <v>32160942.41</v>
      </c>
      <c r="AA43" s="102">
        <f t="shared" si="27"/>
        <v>35248329.599999994</v>
      </c>
      <c r="AB43" s="102">
        <f t="shared" si="27"/>
        <v>6773948.9200000009</v>
      </c>
      <c r="AC43" s="102">
        <f t="shared" si="27"/>
        <v>493618873.36999995</v>
      </c>
      <c r="AD43" s="102"/>
      <c r="AE43" s="102"/>
      <c r="AF43" s="102">
        <f>SUM(AF14:AF42)</f>
        <v>493618873.36999995</v>
      </c>
      <c r="AG43" s="94">
        <v>2023</v>
      </c>
      <c r="AH43" s="94">
        <v>2023</v>
      </c>
    </row>
    <row r="44" spans="1:34" ht="109.9" customHeight="1" x14ac:dyDescent="0.35">
      <c r="A44" s="142" t="s">
        <v>83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4"/>
    </row>
    <row r="45" spans="1:34" s="77" customFormat="1" ht="109.9" customHeight="1" x14ac:dyDescent="0.35">
      <c r="A45" s="94">
        <v>30</v>
      </c>
      <c r="B45" s="95" t="s">
        <v>25</v>
      </c>
      <c r="C45" s="94" t="s">
        <v>195</v>
      </c>
      <c r="D45" s="94">
        <v>1952</v>
      </c>
      <c r="E45" s="94">
        <v>5</v>
      </c>
      <c r="F45" s="109">
        <v>3581.6</v>
      </c>
      <c r="G45" s="109">
        <f>3287.3+33.9</f>
        <v>3321.2000000000003</v>
      </c>
      <c r="H45" s="109">
        <v>3287.3</v>
      </c>
      <c r="I45" s="94">
        <v>155</v>
      </c>
      <c r="J45" s="94" t="s">
        <v>27</v>
      </c>
      <c r="K45" s="94" t="s">
        <v>28</v>
      </c>
      <c r="L45" s="19"/>
      <c r="M45" s="102">
        <f t="shared" ref="M45:M48" si="28">SUM(N45:U45)</f>
        <v>17471703.989999998</v>
      </c>
      <c r="N45" s="102">
        <f>ROUND(G45*616.25,2)</f>
        <v>2046689.5</v>
      </c>
      <c r="O45" s="102">
        <f>ROUND(G45*3349.66,2)</f>
        <v>11124890.789999999</v>
      </c>
      <c r="P45" s="102"/>
      <c r="Q45" s="102">
        <f>ROUND(G45*650.2,2)</f>
        <v>2159444.2400000002</v>
      </c>
      <c r="R45" s="19"/>
      <c r="S45" s="19"/>
      <c r="T45" s="102">
        <f>ROUND(G45*644.55,2)</f>
        <v>2140679.46</v>
      </c>
      <c r="U45" s="19"/>
      <c r="V45" s="19"/>
      <c r="W45" s="19"/>
      <c r="X45" s="19"/>
      <c r="Y45" s="19"/>
      <c r="Z45" s="19"/>
      <c r="AA45" s="102">
        <v>1164776.3999999999</v>
      </c>
      <c r="AB45" s="102">
        <f>ROUND((M45+V45+W45+X45+Y45+Z45)*0.015,2)</f>
        <v>262075.56</v>
      </c>
      <c r="AC45" s="102">
        <f>SUM(N45:AB45)</f>
        <v>18898555.949999996</v>
      </c>
      <c r="AD45" s="102"/>
      <c r="AE45" s="19"/>
      <c r="AF45" s="102">
        <f>AC45-(AD45+AE45)</f>
        <v>18898555.949999996</v>
      </c>
      <c r="AG45" s="94">
        <v>2024</v>
      </c>
      <c r="AH45" s="94">
        <v>2024</v>
      </c>
    </row>
    <row r="46" spans="1:34" ht="109.9" customHeight="1" x14ac:dyDescent="0.35">
      <c r="A46" s="94">
        <v>31</v>
      </c>
      <c r="B46" s="95" t="s">
        <v>25</v>
      </c>
      <c r="C46" s="94" t="s">
        <v>196</v>
      </c>
      <c r="D46" s="94">
        <v>1956</v>
      </c>
      <c r="E46" s="94">
        <v>5</v>
      </c>
      <c r="F46" s="109">
        <v>6203.7</v>
      </c>
      <c r="G46" s="109">
        <f>3984.7+1711.4</f>
        <v>5696.1</v>
      </c>
      <c r="H46" s="109">
        <v>3984.7</v>
      </c>
      <c r="I46" s="94">
        <v>160</v>
      </c>
      <c r="J46" s="94" t="s">
        <v>27</v>
      </c>
      <c r="K46" s="94" t="s">
        <v>28</v>
      </c>
      <c r="L46" s="19"/>
      <c r="M46" s="102">
        <f t="shared" ref="M46" si="29">SUM(N46:U46)</f>
        <v>32835965.899999999</v>
      </c>
      <c r="N46" s="102">
        <f>ROUND(G46*616.25,2)</f>
        <v>3510221.63</v>
      </c>
      <c r="O46" s="102">
        <f>ROUND(G46*3201.73,2)</f>
        <v>18237374.25</v>
      </c>
      <c r="P46" s="102"/>
      <c r="Q46" s="102">
        <f>ROUND(G46*620.83,2)</f>
        <v>3536309.76</v>
      </c>
      <c r="R46" s="102">
        <f>ROUND(G46*660.21,2)</f>
        <v>3760622.18</v>
      </c>
      <c r="S46" s="102"/>
      <c r="T46" s="102">
        <f>ROUND(G46*665.62,2)</f>
        <v>3791438.08</v>
      </c>
      <c r="U46" s="19"/>
      <c r="V46" s="19"/>
      <c r="W46" s="19"/>
      <c r="X46" s="102">
        <f>ROUND(G46*706.71,2)</f>
        <v>4025490.83</v>
      </c>
      <c r="Y46" s="102"/>
      <c r="Z46" s="102">
        <f>ROUND(G46*1135.41,2)</f>
        <v>6467408.9000000004</v>
      </c>
      <c r="AA46" s="102">
        <v>1824567.6</v>
      </c>
      <c r="AB46" s="102">
        <f>ROUND((M46+V46+W46+X46+Y46+Z46)*0.015,2)</f>
        <v>649932.98</v>
      </c>
      <c r="AC46" s="102">
        <f>SUM(N46:AB46)</f>
        <v>45803366.209999993</v>
      </c>
      <c r="AD46" s="102"/>
      <c r="AE46" s="19"/>
      <c r="AF46" s="102">
        <f>AC46-(AD46+AE46)</f>
        <v>45803366.209999993</v>
      </c>
      <c r="AG46" s="94">
        <v>2024</v>
      </c>
      <c r="AH46" s="94">
        <v>2024</v>
      </c>
    </row>
    <row r="47" spans="1:34" s="77" customFormat="1" ht="109.9" customHeight="1" x14ac:dyDescent="0.35">
      <c r="A47" s="94">
        <v>32</v>
      </c>
      <c r="B47" s="95" t="s">
        <v>25</v>
      </c>
      <c r="C47" s="94" t="s">
        <v>134</v>
      </c>
      <c r="D47" s="94">
        <v>1951</v>
      </c>
      <c r="E47" s="94">
        <v>5</v>
      </c>
      <c r="F47" s="109">
        <v>2788.3</v>
      </c>
      <c r="G47" s="109">
        <f>1803.8+755.2</f>
        <v>2559</v>
      </c>
      <c r="H47" s="109">
        <v>1107</v>
      </c>
      <c r="I47" s="94">
        <v>48</v>
      </c>
      <c r="J47" s="94" t="s">
        <v>37</v>
      </c>
      <c r="K47" s="94" t="s">
        <v>28</v>
      </c>
      <c r="L47" s="19"/>
      <c r="M47" s="102">
        <f t="shared" ref="M47" si="30">SUM(N47:U47)</f>
        <v>865223.49</v>
      </c>
      <c r="N47" s="19"/>
      <c r="O47" s="19"/>
      <c r="P47" s="19"/>
      <c r="Q47" s="19"/>
      <c r="R47" s="19"/>
      <c r="S47" s="19"/>
      <c r="T47" s="19"/>
      <c r="U47" s="102">
        <f>ROUND(G47*338.11,2)</f>
        <v>865223.49</v>
      </c>
      <c r="V47" s="19"/>
      <c r="W47" s="19"/>
      <c r="X47" s="102">
        <f>ROUND(G47*763.97,2)</f>
        <v>1954999.23</v>
      </c>
      <c r="Y47" s="102">
        <f>ROUND(G47*3435.59,2)</f>
        <v>8791674.8100000005</v>
      </c>
      <c r="Z47" s="102">
        <f>ROUND(G47*1135.41,2)</f>
        <v>2905514.19</v>
      </c>
      <c r="AA47" s="102">
        <v>1973956.8</v>
      </c>
      <c r="AB47" s="102">
        <f t="shared" ref="AB47:AB64" si="31">ROUND((M47+V47+W47+X47+Y47+Z47)*0.015,2)</f>
        <v>217761.18</v>
      </c>
      <c r="AC47" s="102">
        <f t="shared" ref="AC47:AC64" si="32">SUM(N47:AB47)</f>
        <v>16709129.700000001</v>
      </c>
      <c r="AD47" s="102"/>
      <c r="AE47" s="19"/>
      <c r="AF47" s="102">
        <f>AC47-(AD47+AE47)</f>
        <v>16709129.700000001</v>
      </c>
      <c r="AG47" s="94">
        <v>2024</v>
      </c>
      <c r="AH47" s="94">
        <v>2024</v>
      </c>
    </row>
    <row r="48" spans="1:34" s="77" customFormat="1" ht="109.9" customHeight="1" x14ac:dyDescent="0.35">
      <c r="A48" s="94">
        <v>33</v>
      </c>
      <c r="B48" s="95" t="s">
        <v>25</v>
      </c>
      <c r="C48" s="94" t="s">
        <v>135</v>
      </c>
      <c r="D48" s="94">
        <v>1952</v>
      </c>
      <c r="E48" s="94">
        <v>4</v>
      </c>
      <c r="F48" s="109">
        <v>3140.9</v>
      </c>
      <c r="G48" s="109">
        <f>1967.5+956.9</f>
        <v>2924.4</v>
      </c>
      <c r="H48" s="109">
        <v>1967.5</v>
      </c>
      <c r="I48" s="94">
        <v>64</v>
      </c>
      <c r="J48" s="94" t="s">
        <v>27</v>
      </c>
      <c r="K48" s="94" t="s">
        <v>28</v>
      </c>
      <c r="L48" s="19"/>
      <c r="M48" s="102">
        <f t="shared" si="28"/>
        <v>10962873.74</v>
      </c>
      <c r="N48" s="102">
        <f>ROUND(G48*616.25,2)</f>
        <v>1802161.5</v>
      </c>
      <c r="O48" s="102">
        <f>ROUND(G48*871.5,2)</f>
        <v>2548614.6</v>
      </c>
      <c r="P48" s="102"/>
      <c r="Q48" s="102">
        <f>ROUND(G48*596.38,2)</f>
        <v>1744053.67</v>
      </c>
      <c r="R48" s="102">
        <f>ROUND(G48*589.88,2)</f>
        <v>1725045.07</v>
      </c>
      <c r="S48" s="19"/>
      <c r="T48" s="102">
        <f>ROUND(G48*1074.75,2)</f>
        <v>3142998.9</v>
      </c>
      <c r="U48" s="19"/>
      <c r="V48" s="19"/>
      <c r="W48" s="19"/>
      <c r="X48" s="102">
        <f>ROUND(G48*1954.25,2)</f>
        <v>5715008.7000000002</v>
      </c>
      <c r="Y48" s="102"/>
      <c r="Z48" s="102">
        <f>ROUND(G48*1135.41,2)</f>
        <v>3320393</v>
      </c>
      <c r="AA48" s="102">
        <v>1694389.2</v>
      </c>
      <c r="AB48" s="102">
        <f t="shared" si="31"/>
        <v>299974.13</v>
      </c>
      <c r="AC48" s="102">
        <f t="shared" si="32"/>
        <v>21992638.77</v>
      </c>
      <c r="AD48" s="19"/>
      <c r="AE48" s="19"/>
      <c r="AF48" s="102">
        <f t="shared" ref="AF48:AF64" si="33">AC48-(AD48+AE48)</f>
        <v>21992638.77</v>
      </c>
      <c r="AG48" s="94">
        <v>2024</v>
      </c>
      <c r="AH48" s="94">
        <v>2024</v>
      </c>
    </row>
    <row r="49" spans="1:34" ht="109.9" customHeight="1" x14ac:dyDescent="0.35">
      <c r="A49" s="94">
        <v>34</v>
      </c>
      <c r="B49" s="95" t="s">
        <v>25</v>
      </c>
      <c r="C49" s="94" t="s">
        <v>136</v>
      </c>
      <c r="D49" s="94">
        <v>1954</v>
      </c>
      <c r="E49" s="94">
        <v>4</v>
      </c>
      <c r="F49" s="109">
        <v>2643</v>
      </c>
      <c r="G49" s="109">
        <f>1779.6+661.2</f>
        <v>2440.8000000000002</v>
      </c>
      <c r="H49" s="109">
        <v>1779.6</v>
      </c>
      <c r="I49" s="94">
        <v>55</v>
      </c>
      <c r="J49" s="94" t="s">
        <v>27</v>
      </c>
      <c r="K49" s="94" t="s">
        <v>28</v>
      </c>
      <c r="L49" s="19"/>
      <c r="M49" s="102">
        <f t="shared" ref="M49" si="34">SUM(N49:U49)</f>
        <v>9149973.3999999985</v>
      </c>
      <c r="N49" s="102">
        <f t="shared" ref="N49" si="35">ROUND(G49*616.25,2)</f>
        <v>1504143</v>
      </c>
      <c r="O49" s="102">
        <f>ROUND(G49*871.5,2)</f>
        <v>2127157.2000000002</v>
      </c>
      <c r="P49" s="102"/>
      <c r="Q49" s="102">
        <f t="shared" ref="Q49" si="36">ROUND(G49*596.38,2)</f>
        <v>1455644.3</v>
      </c>
      <c r="R49" s="102">
        <f t="shared" ref="R49" si="37">ROUND(G49*589.88,2)</f>
        <v>1439779.1</v>
      </c>
      <c r="S49" s="102"/>
      <c r="T49" s="102">
        <f t="shared" ref="T49" si="38">ROUND(G49*1074.75,2)</f>
        <v>2623249.7999999998</v>
      </c>
      <c r="U49" s="19"/>
      <c r="V49" s="19"/>
      <c r="W49" s="19"/>
      <c r="X49" s="102">
        <f t="shared" ref="X49" si="39">ROUND(G49*1954.25,2)</f>
        <v>4769933.4000000004</v>
      </c>
      <c r="Y49" s="102">
        <f t="shared" ref="Y49" si="40">ROUND(G49*3842.27,2)</f>
        <v>9378212.6199999992</v>
      </c>
      <c r="Z49" s="102">
        <f t="shared" ref="Z49" si="41">ROUND(G49*1135.41,2)</f>
        <v>2771308.73</v>
      </c>
      <c r="AA49" s="102">
        <v>1699182</v>
      </c>
      <c r="AB49" s="102">
        <f t="shared" si="31"/>
        <v>391041.42</v>
      </c>
      <c r="AC49" s="102">
        <f t="shared" si="32"/>
        <v>28159651.57</v>
      </c>
      <c r="AD49" s="19"/>
      <c r="AE49" s="19"/>
      <c r="AF49" s="102">
        <f t="shared" si="33"/>
        <v>28159651.57</v>
      </c>
      <c r="AG49" s="94">
        <v>2024</v>
      </c>
      <c r="AH49" s="94">
        <v>2024</v>
      </c>
    </row>
    <row r="50" spans="1:34" s="77" customFormat="1" ht="109.9" customHeight="1" x14ac:dyDescent="0.35">
      <c r="A50" s="94">
        <v>35</v>
      </c>
      <c r="B50" s="95" t="s">
        <v>25</v>
      </c>
      <c r="C50" s="94" t="s">
        <v>137</v>
      </c>
      <c r="D50" s="94">
        <v>1957</v>
      </c>
      <c r="E50" s="94">
        <v>4</v>
      </c>
      <c r="F50" s="109">
        <v>2645.9</v>
      </c>
      <c r="G50" s="109">
        <v>2608.3000000000002</v>
      </c>
      <c r="H50" s="109">
        <v>1121.0999999999999</v>
      </c>
      <c r="I50" s="94" t="s">
        <v>26</v>
      </c>
      <c r="J50" s="94" t="s">
        <v>27</v>
      </c>
      <c r="K50" s="94" t="s">
        <v>28</v>
      </c>
      <c r="L50" s="19"/>
      <c r="M50" s="102"/>
      <c r="N50" s="19"/>
      <c r="O50" s="19"/>
      <c r="P50" s="19"/>
      <c r="Q50" s="19"/>
      <c r="R50" s="19"/>
      <c r="S50" s="19"/>
      <c r="T50" s="19"/>
      <c r="U50" s="19"/>
      <c r="V50" s="19"/>
      <c r="W50" s="102"/>
      <c r="X50" s="19">
        <v>5097270.28</v>
      </c>
      <c r="Y50" s="19"/>
      <c r="Z50" s="19">
        <v>2961489.9</v>
      </c>
      <c r="AA50" s="102">
        <v>846241.8</v>
      </c>
      <c r="AB50" s="102">
        <f t="shared" si="31"/>
        <v>120881.4</v>
      </c>
      <c r="AC50" s="102">
        <f t="shared" si="32"/>
        <v>9025883.3800000008</v>
      </c>
      <c r="AD50" s="19"/>
      <c r="AE50" s="19"/>
      <c r="AF50" s="102">
        <f t="shared" si="33"/>
        <v>9025883.3800000008</v>
      </c>
      <c r="AG50" s="94">
        <v>2024</v>
      </c>
      <c r="AH50" s="94">
        <v>2024</v>
      </c>
    </row>
    <row r="51" spans="1:34" s="77" customFormat="1" ht="109.9" customHeight="1" x14ac:dyDescent="0.35">
      <c r="A51" s="94">
        <v>36</v>
      </c>
      <c r="B51" s="95" t="s">
        <v>25</v>
      </c>
      <c r="C51" s="94" t="s">
        <v>138</v>
      </c>
      <c r="D51" s="94">
        <v>1952</v>
      </c>
      <c r="E51" s="94">
        <v>5</v>
      </c>
      <c r="F51" s="109">
        <v>2167.6999999999998</v>
      </c>
      <c r="G51" s="109">
        <v>1927.2</v>
      </c>
      <c r="H51" s="109">
        <v>928.8</v>
      </c>
      <c r="I51" s="94">
        <v>35</v>
      </c>
      <c r="J51" s="94" t="s">
        <v>27</v>
      </c>
      <c r="K51" s="94" t="s">
        <v>28</v>
      </c>
      <c r="L51" s="19"/>
      <c r="M51" s="102">
        <f t="shared" ref="M51:M54" si="42">SUM(N51:U51)</f>
        <v>12630329.18</v>
      </c>
      <c r="N51" s="102">
        <f t="shared" ref="N51:N57" si="43">ROUND(G51*616.25,2)</f>
        <v>1187637</v>
      </c>
      <c r="O51" s="102">
        <f>ROUND(G51*3990.81,2)</f>
        <v>7691089.0300000003</v>
      </c>
      <c r="P51" s="102"/>
      <c r="Q51" s="102">
        <f>ROUND(G51*620.83,2)</f>
        <v>1196463.58</v>
      </c>
      <c r="R51" s="102">
        <f>ROUND(G51*660.21,2)</f>
        <v>1272356.71</v>
      </c>
      <c r="S51" s="19"/>
      <c r="T51" s="102">
        <f>ROUND(G51*665.62,2)</f>
        <v>1282782.8600000001</v>
      </c>
      <c r="U51" s="19"/>
      <c r="V51" s="19"/>
      <c r="W51" s="19"/>
      <c r="X51" s="19"/>
      <c r="Y51" s="19"/>
      <c r="Z51" s="19"/>
      <c r="AA51" s="102">
        <v>977536.8</v>
      </c>
      <c r="AB51" s="102">
        <f t="shared" si="31"/>
        <v>189454.94</v>
      </c>
      <c r="AC51" s="102">
        <f t="shared" si="32"/>
        <v>13797320.92</v>
      </c>
      <c r="AD51" s="19"/>
      <c r="AE51" s="19"/>
      <c r="AF51" s="102">
        <f t="shared" si="33"/>
        <v>13797320.92</v>
      </c>
      <c r="AG51" s="94">
        <v>2024</v>
      </c>
      <c r="AH51" s="94">
        <v>2024</v>
      </c>
    </row>
    <row r="52" spans="1:34" s="77" customFormat="1" ht="109.9" customHeight="1" x14ac:dyDescent="0.35">
      <c r="A52" s="94">
        <v>37</v>
      </c>
      <c r="B52" s="95" t="s">
        <v>25</v>
      </c>
      <c r="C52" s="94" t="s">
        <v>139</v>
      </c>
      <c r="D52" s="94">
        <v>1952</v>
      </c>
      <c r="E52" s="94">
        <v>4</v>
      </c>
      <c r="F52" s="109">
        <v>3075.7</v>
      </c>
      <c r="G52" s="109">
        <v>2804.5</v>
      </c>
      <c r="H52" s="109">
        <v>2251.9</v>
      </c>
      <c r="I52" s="94">
        <v>55</v>
      </c>
      <c r="J52" s="94" t="s">
        <v>27</v>
      </c>
      <c r="K52" s="94" t="s">
        <v>28</v>
      </c>
      <c r="L52" s="19"/>
      <c r="M52" s="102">
        <f t="shared" si="42"/>
        <v>11710846.210000001</v>
      </c>
      <c r="N52" s="102">
        <f t="shared" si="43"/>
        <v>1728273.13</v>
      </c>
      <c r="O52" s="102">
        <f>ROUND(G52*871.5,2)</f>
        <v>2444121.75</v>
      </c>
      <c r="P52" s="102"/>
      <c r="Q52" s="102">
        <f>ROUND(G52*596.38,2)</f>
        <v>1672547.71</v>
      </c>
      <c r="R52" s="102">
        <f>ROUND(G52*589.88,2)</f>
        <v>1654318.46</v>
      </c>
      <c r="S52" s="102">
        <f>ROUND(1*1197448.78,2)</f>
        <v>1197448.78</v>
      </c>
      <c r="T52" s="102">
        <f>ROUND(G52*1074.75,2)</f>
        <v>3014136.38</v>
      </c>
      <c r="U52" s="19"/>
      <c r="V52" s="19"/>
      <c r="W52" s="19"/>
      <c r="X52" s="19"/>
      <c r="Y52" s="19"/>
      <c r="Z52" s="102">
        <f>ROUND(G52*1135.41,2)</f>
        <v>3184257.35</v>
      </c>
      <c r="AA52" s="102">
        <f>1300579.2+124000</f>
        <v>1424579.2</v>
      </c>
      <c r="AB52" s="102">
        <f t="shared" si="31"/>
        <v>223426.55</v>
      </c>
      <c r="AC52" s="102">
        <f t="shared" si="32"/>
        <v>16543109.310000001</v>
      </c>
      <c r="AD52" s="19"/>
      <c r="AE52" s="19"/>
      <c r="AF52" s="102">
        <f t="shared" si="33"/>
        <v>16543109.310000001</v>
      </c>
      <c r="AG52" s="94">
        <v>2024</v>
      </c>
      <c r="AH52" s="94">
        <v>2024</v>
      </c>
    </row>
    <row r="53" spans="1:34" s="77" customFormat="1" ht="109.9" customHeight="1" x14ac:dyDescent="0.35">
      <c r="A53" s="94">
        <v>38</v>
      </c>
      <c r="B53" s="95" t="s">
        <v>25</v>
      </c>
      <c r="C53" s="94" t="s">
        <v>140</v>
      </c>
      <c r="D53" s="94">
        <v>1952</v>
      </c>
      <c r="E53" s="94">
        <v>4</v>
      </c>
      <c r="F53" s="109">
        <v>4112.6000000000004</v>
      </c>
      <c r="G53" s="109">
        <v>3649.8</v>
      </c>
      <c r="H53" s="109">
        <v>1571.9</v>
      </c>
      <c r="I53" s="94">
        <v>65</v>
      </c>
      <c r="J53" s="94" t="s">
        <v>27</v>
      </c>
      <c r="K53" s="94" t="s">
        <v>28</v>
      </c>
      <c r="L53" s="19"/>
      <c r="M53" s="102">
        <f t="shared" si="42"/>
        <v>13682224.239999998</v>
      </c>
      <c r="N53" s="102">
        <f t="shared" si="43"/>
        <v>2249189.25</v>
      </c>
      <c r="O53" s="102">
        <f>ROUND(G53*871.5,2)</f>
        <v>3180800.7</v>
      </c>
      <c r="P53" s="102"/>
      <c r="Q53" s="102">
        <f>ROUND(G53*596.38,2)</f>
        <v>2176667.7200000002</v>
      </c>
      <c r="R53" s="102">
        <f>ROUND(G53*589.88,2)</f>
        <v>2152944.02</v>
      </c>
      <c r="S53" s="19"/>
      <c r="T53" s="102">
        <f>ROUND(G53*1074.75,2)</f>
        <v>3922622.55</v>
      </c>
      <c r="U53" s="19"/>
      <c r="V53" s="19"/>
      <c r="W53" s="19"/>
      <c r="X53" s="19"/>
      <c r="Y53" s="19"/>
      <c r="Z53" s="19"/>
      <c r="AA53" s="102">
        <v>1124644.8</v>
      </c>
      <c r="AB53" s="102">
        <f t="shared" si="31"/>
        <v>205233.36</v>
      </c>
      <c r="AC53" s="102">
        <f t="shared" si="32"/>
        <v>15012102.399999999</v>
      </c>
      <c r="AD53" s="19"/>
      <c r="AE53" s="19"/>
      <c r="AF53" s="102">
        <f t="shared" si="33"/>
        <v>15012102.399999999</v>
      </c>
      <c r="AG53" s="94">
        <v>2024</v>
      </c>
      <c r="AH53" s="94">
        <v>2024</v>
      </c>
    </row>
    <row r="54" spans="1:34" s="77" customFormat="1" ht="109.9" customHeight="1" x14ac:dyDescent="0.35">
      <c r="A54" s="94">
        <v>39</v>
      </c>
      <c r="B54" s="95" t="s">
        <v>25</v>
      </c>
      <c r="C54" s="94" t="s">
        <v>141</v>
      </c>
      <c r="D54" s="94">
        <v>1952</v>
      </c>
      <c r="E54" s="94">
        <v>5</v>
      </c>
      <c r="F54" s="109">
        <v>3109.8</v>
      </c>
      <c r="G54" s="109">
        <f>1832.7+934.8</f>
        <v>2767.5</v>
      </c>
      <c r="H54" s="109">
        <v>1832.7</v>
      </c>
      <c r="I54" s="94">
        <v>8</v>
      </c>
      <c r="J54" s="94" t="s">
        <v>27</v>
      </c>
      <c r="K54" s="94" t="s">
        <v>28</v>
      </c>
      <c r="L54" s="19"/>
      <c r="M54" s="102">
        <f t="shared" si="42"/>
        <v>19334868.899999999</v>
      </c>
      <c r="N54" s="102">
        <f t="shared" si="43"/>
        <v>1705471.88</v>
      </c>
      <c r="O54" s="102">
        <f>ROUND(G54*3990.81,2)</f>
        <v>11044566.68</v>
      </c>
      <c r="P54" s="102"/>
      <c r="Q54" s="102">
        <f>ROUND(G54*620.83,2)</f>
        <v>1718147.03</v>
      </c>
      <c r="R54" s="102">
        <f>ROUND(G54*660.21,2)</f>
        <v>1827131.18</v>
      </c>
      <c r="S54" s="102">
        <f>ROUND(1*1197448.78,2)</f>
        <v>1197448.78</v>
      </c>
      <c r="T54" s="102">
        <f>ROUND(G54*665.62,2)</f>
        <v>1842103.35</v>
      </c>
      <c r="U54" s="19"/>
      <c r="V54" s="19"/>
      <c r="W54" s="19"/>
      <c r="X54" s="19">
        <v>1955819.93</v>
      </c>
      <c r="Y54" s="19"/>
      <c r="Z54" s="19">
        <v>3142247.18</v>
      </c>
      <c r="AA54" s="102">
        <f>1172490.4+1073566</f>
        <v>2246056.4</v>
      </c>
      <c r="AB54" s="102">
        <f t="shared" si="31"/>
        <v>366494.04</v>
      </c>
      <c r="AC54" s="102">
        <f t="shared" si="32"/>
        <v>27045486.449999996</v>
      </c>
      <c r="AD54" s="19"/>
      <c r="AE54" s="19"/>
      <c r="AF54" s="102">
        <f t="shared" si="33"/>
        <v>27045486.449999996</v>
      </c>
      <c r="AG54" s="94">
        <v>2024</v>
      </c>
      <c r="AH54" s="94">
        <v>2024</v>
      </c>
    </row>
    <row r="55" spans="1:34" ht="109.9" customHeight="1" x14ac:dyDescent="0.35">
      <c r="A55" s="94">
        <v>40</v>
      </c>
      <c r="B55" s="95" t="s">
        <v>25</v>
      </c>
      <c r="C55" s="94" t="s">
        <v>142</v>
      </c>
      <c r="D55" s="94">
        <v>1953</v>
      </c>
      <c r="E55" s="94">
        <v>6</v>
      </c>
      <c r="F55" s="109">
        <v>11255.1</v>
      </c>
      <c r="G55" s="109">
        <v>10310.4</v>
      </c>
      <c r="H55" s="109" t="s">
        <v>40</v>
      </c>
      <c r="I55" s="94" t="s">
        <v>41</v>
      </c>
      <c r="J55" s="94" t="s">
        <v>27</v>
      </c>
      <c r="K55" s="94" t="s">
        <v>28</v>
      </c>
      <c r="L55" s="19"/>
      <c r="M55" s="102">
        <f>SUM(N55:U55)</f>
        <v>59435744.25</v>
      </c>
      <c r="N55" s="102">
        <f>ROUND(G55*616.25,2)</f>
        <v>6353784</v>
      </c>
      <c r="O55" s="102">
        <f>ROUND(G55*3201.73,2)</f>
        <v>33011116.989999998</v>
      </c>
      <c r="P55" s="102"/>
      <c r="Q55" s="102">
        <f>ROUND(G55*620.83,2)</f>
        <v>6401005.6299999999</v>
      </c>
      <c r="R55" s="102">
        <f>ROUND(G55*660.21,2)</f>
        <v>6807029.1799999997</v>
      </c>
      <c r="S55" s="102"/>
      <c r="T55" s="102">
        <f>ROUND(G55*665.62,2)</f>
        <v>6862808.4500000002</v>
      </c>
      <c r="U55" s="19"/>
      <c r="V55" s="19"/>
      <c r="W55" s="19"/>
      <c r="X55" s="19"/>
      <c r="Y55" s="19"/>
      <c r="Z55" s="19"/>
      <c r="AA55" s="102">
        <v>2714532</v>
      </c>
      <c r="AB55" s="102">
        <f>ROUND((M55+V55+W55+X55+Y55+Z55)*0.015,2)</f>
        <v>891536.16</v>
      </c>
      <c r="AC55" s="102">
        <f>SUM(N55:AB55)</f>
        <v>63041812.409999996</v>
      </c>
      <c r="AD55" s="19"/>
      <c r="AE55" s="19"/>
      <c r="AF55" s="102">
        <f>AC55-(AD55+AE55)</f>
        <v>63041812.409999996</v>
      </c>
      <c r="AG55" s="94">
        <v>2024</v>
      </c>
      <c r="AH55" s="94">
        <v>2024</v>
      </c>
    </row>
    <row r="56" spans="1:34" ht="109.9" customHeight="1" x14ac:dyDescent="0.35">
      <c r="A56" s="94">
        <v>41</v>
      </c>
      <c r="B56" s="95" t="s">
        <v>25</v>
      </c>
      <c r="C56" s="94" t="s">
        <v>143</v>
      </c>
      <c r="D56" s="94">
        <v>1955</v>
      </c>
      <c r="E56" s="94">
        <v>4</v>
      </c>
      <c r="F56" s="109">
        <v>2232.4</v>
      </c>
      <c r="G56" s="109">
        <v>2000.3</v>
      </c>
      <c r="H56" s="109">
        <v>929.7</v>
      </c>
      <c r="I56" s="94">
        <v>45</v>
      </c>
      <c r="J56" s="94" t="s">
        <v>27</v>
      </c>
      <c r="K56" s="94" t="s">
        <v>28</v>
      </c>
      <c r="L56" s="19"/>
      <c r="M56" s="102">
        <f t="shared" ref="M56:M59" si="44">SUM(N56:U56)</f>
        <v>5348822.2</v>
      </c>
      <c r="N56" s="102">
        <f t="shared" si="43"/>
        <v>1232684.8799999999</v>
      </c>
      <c r="O56" s="102">
        <f>ROUND(G56*871.5,2)</f>
        <v>1743261.45</v>
      </c>
      <c r="P56" s="102"/>
      <c r="Q56" s="102">
        <f t="shared" ref="Q56:Q57" si="45">ROUND(G56*596.38,2)</f>
        <v>1192938.9099999999</v>
      </c>
      <c r="R56" s="102">
        <f t="shared" ref="R56:R57" si="46">ROUND(G56*589.88,2)</f>
        <v>1179936.96</v>
      </c>
      <c r="S56" s="102"/>
      <c r="T56" s="102"/>
      <c r="U56" s="19"/>
      <c r="V56" s="19"/>
      <c r="W56" s="19"/>
      <c r="X56" s="19"/>
      <c r="Y56" s="19"/>
      <c r="Z56" s="19"/>
      <c r="AA56" s="102">
        <v>673593.6</v>
      </c>
      <c r="AB56" s="102">
        <f t="shared" si="31"/>
        <v>80232.33</v>
      </c>
      <c r="AC56" s="102">
        <f t="shared" si="32"/>
        <v>6102648.1299999999</v>
      </c>
      <c r="AD56" s="19"/>
      <c r="AE56" s="19"/>
      <c r="AF56" s="102">
        <f t="shared" si="33"/>
        <v>6102648.1299999999</v>
      </c>
      <c r="AG56" s="94">
        <v>2024</v>
      </c>
      <c r="AH56" s="94">
        <v>2024</v>
      </c>
    </row>
    <row r="57" spans="1:34" s="77" customFormat="1" ht="109.9" customHeight="1" x14ac:dyDescent="0.35">
      <c r="A57" s="94">
        <v>42</v>
      </c>
      <c r="B57" s="95" t="s">
        <v>25</v>
      </c>
      <c r="C57" s="94" t="s">
        <v>144</v>
      </c>
      <c r="D57" s="94">
        <v>1953</v>
      </c>
      <c r="E57" s="94">
        <v>4</v>
      </c>
      <c r="F57" s="109">
        <v>2167.9</v>
      </c>
      <c r="G57" s="109">
        <v>1958.8</v>
      </c>
      <c r="H57" s="109">
        <v>1646.16</v>
      </c>
      <c r="I57" s="94" t="s">
        <v>38</v>
      </c>
      <c r="J57" s="94" t="s">
        <v>37</v>
      </c>
      <c r="K57" s="94" t="s">
        <v>28</v>
      </c>
      <c r="L57" s="19"/>
      <c r="M57" s="102">
        <f t="shared" si="44"/>
        <v>15151631.399999999</v>
      </c>
      <c r="N57" s="102">
        <f t="shared" si="43"/>
        <v>1207110.5</v>
      </c>
      <c r="O57" s="102">
        <f>ROUND(G57*4857.9,2)</f>
        <v>9515654.5199999996</v>
      </c>
      <c r="P57" s="102"/>
      <c r="Q57" s="102">
        <f t="shared" si="45"/>
        <v>1168189.1399999999</v>
      </c>
      <c r="R57" s="102">
        <f t="shared" si="46"/>
        <v>1155456.94</v>
      </c>
      <c r="S57" s="19"/>
      <c r="T57" s="102">
        <f>ROUND(G57*1074.75,2)</f>
        <v>2105220.2999999998</v>
      </c>
      <c r="U57" s="19"/>
      <c r="V57" s="19"/>
      <c r="W57" s="19"/>
      <c r="X57" s="19"/>
      <c r="Y57" s="19"/>
      <c r="Z57" s="19"/>
      <c r="AA57" s="102">
        <v>958839.6</v>
      </c>
      <c r="AB57" s="102">
        <f t="shared" si="31"/>
        <v>227274.47</v>
      </c>
      <c r="AC57" s="102">
        <f t="shared" si="32"/>
        <v>16337745.469999999</v>
      </c>
      <c r="AD57" s="19"/>
      <c r="AE57" s="19"/>
      <c r="AF57" s="102">
        <f t="shared" si="33"/>
        <v>16337745.469999999</v>
      </c>
      <c r="AG57" s="94">
        <v>2024</v>
      </c>
      <c r="AH57" s="94">
        <v>2024</v>
      </c>
    </row>
    <row r="58" spans="1:34" s="77" customFormat="1" ht="109.9" customHeight="1" x14ac:dyDescent="0.35">
      <c r="A58" s="94">
        <v>43</v>
      </c>
      <c r="B58" s="95" t="s">
        <v>25</v>
      </c>
      <c r="C58" s="94" t="s">
        <v>145</v>
      </c>
      <c r="D58" s="94">
        <v>1958</v>
      </c>
      <c r="E58" s="94">
        <v>5</v>
      </c>
      <c r="F58" s="109">
        <v>3561</v>
      </c>
      <c r="G58" s="109">
        <v>3477.3</v>
      </c>
      <c r="H58" s="109">
        <v>2607.5</v>
      </c>
      <c r="I58" s="94">
        <v>71</v>
      </c>
      <c r="J58" s="94" t="s">
        <v>39</v>
      </c>
      <c r="K58" s="94" t="s">
        <v>181</v>
      </c>
      <c r="L58" s="19"/>
      <c r="M58" s="102"/>
      <c r="N58" s="19"/>
      <c r="O58" s="19"/>
      <c r="P58" s="19"/>
      <c r="Q58" s="19"/>
      <c r="R58" s="19"/>
      <c r="S58" s="19"/>
      <c r="T58" s="19"/>
      <c r="U58" s="19"/>
      <c r="V58" s="19"/>
      <c r="W58" s="102">
        <f>ROUND(G58*3855.19,2)</f>
        <v>13405652.189999999</v>
      </c>
      <c r="X58" s="19">
        <f>ROUND(G58*706.71,2)</f>
        <v>2457442.6800000002</v>
      </c>
      <c r="Y58" s="19"/>
      <c r="Z58" s="19"/>
      <c r="AA58" s="102">
        <v>1343538</v>
      </c>
      <c r="AB58" s="102">
        <f t="shared" si="31"/>
        <v>237946.42</v>
      </c>
      <c r="AC58" s="102">
        <f t="shared" si="32"/>
        <v>17444579.289999999</v>
      </c>
      <c r="AD58" s="19"/>
      <c r="AE58" s="19"/>
      <c r="AF58" s="102">
        <f t="shared" si="33"/>
        <v>17444579.289999999</v>
      </c>
      <c r="AG58" s="94">
        <v>2024</v>
      </c>
      <c r="AH58" s="94">
        <v>2024</v>
      </c>
    </row>
    <row r="59" spans="1:34" ht="109.9" customHeight="1" x14ac:dyDescent="0.35">
      <c r="A59" s="94">
        <v>44</v>
      </c>
      <c r="B59" s="95" t="s">
        <v>25</v>
      </c>
      <c r="C59" s="94" t="s">
        <v>146</v>
      </c>
      <c r="D59" s="94">
        <v>1952</v>
      </c>
      <c r="E59" s="94">
        <v>4</v>
      </c>
      <c r="F59" s="109">
        <v>4122.6000000000004</v>
      </c>
      <c r="G59" s="109">
        <v>3797.8</v>
      </c>
      <c r="H59" s="109">
        <v>3797.8</v>
      </c>
      <c r="I59" s="94" t="s">
        <v>26</v>
      </c>
      <c r="J59" s="94" t="s">
        <v>27</v>
      </c>
      <c r="K59" s="94" t="s">
        <v>28</v>
      </c>
      <c r="L59" s="19"/>
      <c r="M59" s="102">
        <f t="shared" si="44"/>
        <v>29376590.640000004</v>
      </c>
      <c r="N59" s="102">
        <f t="shared" ref="N59:N64" si="47">ROUND(G59*616.25,2)</f>
        <v>2340394.25</v>
      </c>
      <c r="O59" s="102">
        <f>ROUND(G59*4857.9,2)</f>
        <v>18449332.620000001</v>
      </c>
      <c r="P59" s="102"/>
      <c r="Q59" s="102">
        <f>ROUND(G59*596.38,2)</f>
        <v>2264931.96</v>
      </c>
      <c r="R59" s="102">
        <f>ROUND(G59*589.88,2)</f>
        <v>2240246.2599999998</v>
      </c>
      <c r="S59" s="102"/>
      <c r="T59" s="102">
        <f>ROUND(G59*1074.75,2)</f>
        <v>4081685.55</v>
      </c>
      <c r="U59" s="19"/>
      <c r="V59" s="19"/>
      <c r="W59" s="19"/>
      <c r="X59" s="102">
        <f>ROUND(G59*1954.25,2)</f>
        <v>7421850.6500000004</v>
      </c>
      <c r="Y59" s="102"/>
      <c r="Z59" s="102">
        <f>ROUND(G59*1135.41,2)</f>
        <v>4312060.0999999996</v>
      </c>
      <c r="AA59" s="102">
        <v>1161331.2</v>
      </c>
      <c r="AB59" s="102">
        <f t="shared" si="31"/>
        <v>616657.52</v>
      </c>
      <c r="AC59" s="102">
        <f t="shared" si="32"/>
        <v>42888490.110000014</v>
      </c>
      <c r="AD59" s="19"/>
      <c r="AE59" s="19"/>
      <c r="AF59" s="102">
        <f t="shared" si="33"/>
        <v>42888490.110000014</v>
      </c>
      <c r="AG59" s="94">
        <v>2024</v>
      </c>
      <c r="AH59" s="94">
        <v>2024</v>
      </c>
    </row>
    <row r="60" spans="1:34" ht="109.9" customHeight="1" x14ac:dyDescent="0.35">
      <c r="A60" s="94">
        <v>45</v>
      </c>
      <c r="B60" s="95" t="s">
        <v>25</v>
      </c>
      <c r="C60" s="94" t="s">
        <v>147</v>
      </c>
      <c r="D60" s="94">
        <v>1956</v>
      </c>
      <c r="E60" s="94">
        <v>5</v>
      </c>
      <c r="F60" s="109">
        <v>2510.9</v>
      </c>
      <c r="G60" s="109">
        <v>2323.1</v>
      </c>
      <c r="H60" s="109">
        <v>1499.4</v>
      </c>
      <c r="I60" s="94" t="s">
        <v>26</v>
      </c>
      <c r="J60" s="94" t="s">
        <v>27</v>
      </c>
      <c r="K60" s="94" t="s">
        <v>28</v>
      </c>
      <c r="L60" s="19"/>
      <c r="M60" s="102">
        <f t="shared" ref="M60:M64" si="48">SUM(N60:U60)</f>
        <v>13391835.18</v>
      </c>
      <c r="N60" s="102">
        <f t="shared" si="47"/>
        <v>1431610.38</v>
      </c>
      <c r="O60" s="102">
        <f>ROUND(G60*3201.73,2)</f>
        <v>7437938.96</v>
      </c>
      <c r="P60" s="102"/>
      <c r="Q60" s="102">
        <f>ROUND(G60*620.83,2)</f>
        <v>1442250.17</v>
      </c>
      <c r="R60" s="102">
        <f>ROUND(G60*660.21,2)</f>
        <v>1533733.85</v>
      </c>
      <c r="S60" s="19"/>
      <c r="T60" s="102">
        <f>ROUND(G60*665.62,2)</f>
        <v>1546301.82</v>
      </c>
      <c r="U60" s="19"/>
      <c r="V60" s="19"/>
      <c r="W60" s="19"/>
      <c r="X60" s="102">
        <f>ROUND(G60*706.71,2)</f>
        <v>1641758</v>
      </c>
      <c r="Y60" s="102">
        <v>7981219.1299999999</v>
      </c>
      <c r="Z60" s="102">
        <f>ROUND(G60*1135.41,2)</f>
        <v>2637670.9700000002</v>
      </c>
      <c r="AA60" s="102">
        <f>781665.6+630622.8+1275220.8</f>
        <v>2687509.2</v>
      </c>
      <c r="AB60" s="102">
        <f t="shared" si="31"/>
        <v>384787.25</v>
      </c>
      <c r="AC60" s="102">
        <f t="shared" si="32"/>
        <v>28724779.729999997</v>
      </c>
      <c r="AD60" s="19"/>
      <c r="AE60" s="19"/>
      <c r="AF60" s="102">
        <f t="shared" si="33"/>
        <v>28724779.729999997</v>
      </c>
      <c r="AG60" s="94">
        <v>2024</v>
      </c>
      <c r="AH60" s="94">
        <v>2024</v>
      </c>
    </row>
    <row r="61" spans="1:34" ht="109.9" customHeight="1" x14ac:dyDescent="0.35">
      <c r="A61" s="94">
        <v>46</v>
      </c>
      <c r="B61" s="95" t="s">
        <v>25</v>
      </c>
      <c r="C61" s="94" t="s">
        <v>148</v>
      </c>
      <c r="D61" s="94">
        <v>1953</v>
      </c>
      <c r="E61" s="94">
        <v>3</v>
      </c>
      <c r="F61" s="109">
        <v>1621.2</v>
      </c>
      <c r="G61" s="109">
        <v>1478.8</v>
      </c>
      <c r="H61" s="109">
        <v>1040</v>
      </c>
      <c r="I61" s="94" t="s">
        <v>26</v>
      </c>
      <c r="J61" s="94" t="s">
        <v>27</v>
      </c>
      <c r="K61" s="94" t="s">
        <v>28</v>
      </c>
      <c r="L61" s="19"/>
      <c r="M61" s="102">
        <f t="shared" si="48"/>
        <v>11438754.600000001</v>
      </c>
      <c r="N61" s="102">
        <f t="shared" si="47"/>
        <v>911310.5</v>
      </c>
      <c r="O61" s="102">
        <f>ROUND(G61*4857.9,2)</f>
        <v>7183862.5199999996</v>
      </c>
      <c r="P61" s="102"/>
      <c r="Q61" s="102">
        <f>ROUND(G61*596.38,2)</f>
        <v>881926.74</v>
      </c>
      <c r="R61" s="102">
        <f>ROUND(G61*589.88,2)</f>
        <v>872314.54</v>
      </c>
      <c r="S61" s="102"/>
      <c r="T61" s="102">
        <f>ROUND(G61*1074.75,2)</f>
        <v>1589340.3</v>
      </c>
      <c r="U61" s="19"/>
      <c r="V61" s="19"/>
      <c r="W61" s="19"/>
      <c r="X61" s="19"/>
      <c r="Y61" s="102">
        <v>4856541.87</v>
      </c>
      <c r="Z61" s="102">
        <f>ROUND(G61*1135.41,2)</f>
        <v>1679044.31</v>
      </c>
      <c r="AA61" s="102">
        <f>950602.8+577323.6</f>
        <v>1527926.4</v>
      </c>
      <c r="AB61" s="102">
        <f t="shared" si="31"/>
        <v>269615.11</v>
      </c>
      <c r="AC61" s="102">
        <f t="shared" si="32"/>
        <v>19771882.289999999</v>
      </c>
      <c r="AD61" s="19"/>
      <c r="AE61" s="19"/>
      <c r="AF61" s="102">
        <f t="shared" si="33"/>
        <v>19771882.289999999</v>
      </c>
      <c r="AG61" s="94">
        <v>2024</v>
      </c>
      <c r="AH61" s="94">
        <v>2024</v>
      </c>
    </row>
    <row r="62" spans="1:34" ht="109.9" customHeight="1" x14ac:dyDescent="0.35">
      <c r="A62" s="94">
        <v>47</v>
      </c>
      <c r="B62" s="95" t="s">
        <v>25</v>
      </c>
      <c r="C62" s="94" t="s">
        <v>149</v>
      </c>
      <c r="D62" s="94">
        <v>1955</v>
      </c>
      <c r="E62" s="94">
        <v>5</v>
      </c>
      <c r="F62" s="109">
        <v>7641.8</v>
      </c>
      <c r="G62" s="109">
        <v>7032.8</v>
      </c>
      <c r="H62" s="109">
        <v>4950.5</v>
      </c>
      <c r="I62" s="94">
        <v>73</v>
      </c>
      <c r="J62" s="94" t="s">
        <v>27</v>
      </c>
      <c r="K62" s="94" t="s">
        <v>28</v>
      </c>
      <c r="L62" s="19"/>
      <c r="M62" s="102">
        <f t="shared" ref="M62" si="49">SUM(N62:U62)</f>
        <v>40541560.189999998</v>
      </c>
      <c r="N62" s="102">
        <f>ROUND(G62*616.25,2)</f>
        <v>4333963</v>
      </c>
      <c r="O62" s="102">
        <f>ROUND(G62*3201.73,2)</f>
        <v>22517126.739999998</v>
      </c>
      <c r="P62" s="102"/>
      <c r="Q62" s="102">
        <f>ROUND(G62*620.83,2)</f>
        <v>4366173.22</v>
      </c>
      <c r="R62" s="102">
        <f>ROUND(G62*660.21,2)</f>
        <v>4643124.8899999997</v>
      </c>
      <c r="S62" s="102"/>
      <c r="T62" s="102">
        <f>ROUND(G62*665.62,2)</f>
        <v>4681172.34</v>
      </c>
      <c r="U62" s="19"/>
      <c r="V62" s="19"/>
      <c r="W62" s="19"/>
      <c r="X62" s="19"/>
      <c r="Y62" s="19"/>
      <c r="Z62" s="19"/>
      <c r="AA62" s="102">
        <v>1826556</v>
      </c>
      <c r="AB62" s="102">
        <f>ROUND((M62+V62+W62+X62+Y62+Z62)*0.015,2)</f>
        <v>608123.4</v>
      </c>
      <c r="AC62" s="102">
        <f>SUM(N62:AB62)</f>
        <v>42976239.589999996</v>
      </c>
      <c r="AD62" s="19"/>
      <c r="AE62" s="19"/>
      <c r="AF62" s="102">
        <f>AC62-(AD62+AE62)</f>
        <v>42976239.589999996</v>
      </c>
      <c r="AG62" s="94">
        <v>2024</v>
      </c>
      <c r="AH62" s="94">
        <v>2024</v>
      </c>
    </row>
    <row r="63" spans="1:34" ht="109.9" customHeight="1" x14ac:dyDescent="0.35">
      <c r="A63" s="94">
        <v>48</v>
      </c>
      <c r="B63" s="95" t="s">
        <v>25</v>
      </c>
      <c r="C63" s="94" t="s">
        <v>197</v>
      </c>
      <c r="D63" s="94">
        <v>1955</v>
      </c>
      <c r="E63" s="94">
        <v>4</v>
      </c>
      <c r="F63" s="109">
        <v>2690.2</v>
      </c>
      <c r="G63" s="109">
        <v>2495.5</v>
      </c>
      <c r="H63" s="109">
        <v>1850.2</v>
      </c>
      <c r="I63" s="94">
        <v>51</v>
      </c>
      <c r="J63" s="94" t="s">
        <v>27</v>
      </c>
      <c r="K63" s="94" t="s">
        <v>28</v>
      </c>
      <c r="L63" s="19"/>
      <c r="M63" s="102">
        <f t="shared" ref="M63" si="50">SUM(N63:U63)</f>
        <v>9355030.5899999999</v>
      </c>
      <c r="N63" s="102">
        <f t="shared" ref="N63" si="51">ROUND(G63*616.25,2)</f>
        <v>1537851.88</v>
      </c>
      <c r="O63" s="102">
        <f>ROUND(G63*871.5,2)</f>
        <v>2174828.25</v>
      </c>
      <c r="P63" s="102"/>
      <c r="Q63" s="102">
        <f t="shared" ref="Q63" si="52">ROUND(G63*596.38,2)</f>
        <v>1488266.29</v>
      </c>
      <c r="R63" s="102">
        <f t="shared" ref="R63" si="53">ROUND(G63*589.88,2)</f>
        <v>1472045.54</v>
      </c>
      <c r="S63" s="102"/>
      <c r="T63" s="102">
        <f t="shared" ref="T63" si="54">ROUND(G63*1074.75,2)</f>
        <v>2682038.63</v>
      </c>
      <c r="U63" s="19"/>
      <c r="V63" s="19"/>
      <c r="W63" s="19"/>
      <c r="X63" s="19"/>
      <c r="Y63" s="19"/>
      <c r="Z63" s="19"/>
      <c r="AA63" s="102">
        <v>1277401.2</v>
      </c>
      <c r="AB63" s="102">
        <f t="shared" ref="AB63" si="55">ROUND((M63+V63+W63+X63+Y63+Z63)*0.015,2)</f>
        <v>140325.46</v>
      </c>
      <c r="AC63" s="102">
        <f t="shared" ref="AC63" si="56">SUM(N63:AB63)</f>
        <v>10772757.25</v>
      </c>
      <c r="AD63" s="19"/>
      <c r="AE63" s="19"/>
      <c r="AF63" s="102">
        <f t="shared" ref="AF63" si="57">AC63-(AD63+AE63)</f>
        <v>10772757.25</v>
      </c>
      <c r="AG63" s="94">
        <v>2024</v>
      </c>
      <c r="AH63" s="94">
        <v>2024</v>
      </c>
    </row>
    <row r="64" spans="1:34" ht="109.9" customHeight="1" x14ac:dyDescent="0.35">
      <c r="A64" s="94">
        <v>49</v>
      </c>
      <c r="B64" s="95" t="s">
        <v>25</v>
      </c>
      <c r="C64" s="94" t="s">
        <v>150</v>
      </c>
      <c r="D64" s="94">
        <v>1953</v>
      </c>
      <c r="E64" s="94">
        <v>4</v>
      </c>
      <c r="F64" s="109">
        <v>1972.2</v>
      </c>
      <c r="G64" s="109">
        <v>1838.9</v>
      </c>
      <c r="H64" s="109">
        <v>1168.5999999999999</v>
      </c>
      <c r="I64" s="94">
        <v>28</v>
      </c>
      <c r="J64" s="94" t="s">
        <v>27</v>
      </c>
      <c r="K64" s="94" t="s">
        <v>28</v>
      </c>
      <c r="L64" s="19"/>
      <c r="M64" s="102">
        <f t="shared" si="48"/>
        <v>14224185.73</v>
      </c>
      <c r="N64" s="102">
        <f t="shared" si="47"/>
        <v>1133222.1299999999</v>
      </c>
      <c r="O64" s="102">
        <f>ROUND(G64*4857.9,2)</f>
        <v>8933192.3100000005</v>
      </c>
      <c r="P64" s="102"/>
      <c r="Q64" s="102">
        <f>ROUND(G64*596.38,2)</f>
        <v>1096683.18</v>
      </c>
      <c r="R64" s="102">
        <f>ROUND(G64*589.88,2)</f>
        <v>1084730.33</v>
      </c>
      <c r="S64" s="102"/>
      <c r="T64" s="102">
        <f>ROUND(G64*1074.75,2)</f>
        <v>1976357.78</v>
      </c>
      <c r="U64" s="19"/>
      <c r="V64" s="19"/>
      <c r="W64" s="19"/>
      <c r="X64" s="19"/>
      <c r="Y64" s="19"/>
      <c r="Z64" s="19"/>
      <c r="AA64" s="102">
        <v>933278.4</v>
      </c>
      <c r="AB64" s="102">
        <f t="shared" si="31"/>
        <v>213362.79</v>
      </c>
      <c r="AC64" s="102">
        <f t="shared" si="32"/>
        <v>15370826.92</v>
      </c>
      <c r="AD64" s="19"/>
      <c r="AE64" s="19"/>
      <c r="AF64" s="102">
        <f t="shared" si="33"/>
        <v>15370826.92</v>
      </c>
      <c r="AG64" s="94">
        <v>2024</v>
      </c>
      <c r="AH64" s="94">
        <v>2024</v>
      </c>
    </row>
    <row r="65" spans="1:69" s="15" customFormat="1" ht="109.9" customHeight="1" x14ac:dyDescent="0.25">
      <c r="A65" s="132" t="s">
        <v>151</v>
      </c>
      <c r="B65" s="133"/>
      <c r="C65" s="134"/>
      <c r="D65" s="94"/>
      <c r="E65" s="94"/>
      <c r="F65" s="109">
        <f>SUM(F45:F64)</f>
        <v>73244.5</v>
      </c>
      <c r="G65" s="109">
        <f>SUM(G45:G64)</f>
        <v>67412.5</v>
      </c>
      <c r="H65" s="109"/>
      <c r="I65" s="94"/>
      <c r="J65" s="94"/>
      <c r="K65" s="94"/>
      <c r="L65" s="94"/>
      <c r="M65" s="102">
        <f>SUM(M45:M64)</f>
        <v>326908163.82999998</v>
      </c>
      <c r="N65" s="102">
        <f>SUM(N45:N64)</f>
        <v>36215718.409999996</v>
      </c>
      <c r="O65" s="102">
        <f>SUM(O45:O64)</f>
        <v>169364929.36000001</v>
      </c>
      <c r="P65" s="102"/>
      <c r="Q65" s="102">
        <f>SUM(Q45:Q64)</f>
        <v>35961643.25</v>
      </c>
      <c r="R65" s="102">
        <f>SUM(R45:R64)</f>
        <v>34820815.210000001</v>
      </c>
      <c r="S65" s="102">
        <f>SUM(S45:S64)</f>
        <v>2394897.56</v>
      </c>
      <c r="T65" s="102">
        <f>SUM(T45:T64)</f>
        <v>47284936.550000004</v>
      </c>
      <c r="U65" s="102">
        <f>SUM(U45:U64)</f>
        <v>865223.49</v>
      </c>
      <c r="V65" s="102"/>
      <c r="W65" s="102">
        <f t="shared" ref="W65:AC65" si="58">SUM(W45:W64)</f>
        <v>13405652.189999999</v>
      </c>
      <c r="X65" s="102">
        <f t="shared" si="58"/>
        <v>35039573.700000003</v>
      </c>
      <c r="Y65" s="102">
        <f t="shared" si="58"/>
        <v>31007648.43</v>
      </c>
      <c r="Z65" s="102">
        <f t="shared" si="58"/>
        <v>33381394.629999999</v>
      </c>
      <c r="AA65" s="102">
        <f t="shared" si="58"/>
        <v>30080436.599999998</v>
      </c>
      <c r="AB65" s="102">
        <f t="shared" si="58"/>
        <v>6596136.4700000016</v>
      </c>
      <c r="AC65" s="102">
        <f t="shared" si="58"/>
        <v>476419005.85000002</v>
      </c>
      <c r="AD65" s="102"/>
      <c r="AE65" s="102"/>
      <c r="AF65" s="102">
        <f>SUM(AF45:AF64)</f>
        <v>476419005.85000002</v>
      </c>
      <c r="AG65" s="94">
        <v>2024</v>
      </c>
      <c r="AH65" s="94">
        <v>2024</v>
      </c>
    </row>
    <row r="66" spans="1:69" s="15" customFormat="1" ht="109.9" customHeight="1" x14ac:dyDescent="0.25">
      <c r="A66" s="142" t="s">
        <v>85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4"/>
    </row>
    <row r="67" spans="1:69" ht="109.9" customHeight="1" x14ac:dyDescent="0.35">
      <c r="A67" s="94">
        <v>50</v>
      </c>
      <c r="B67" s="95" t="s">
        <v>84</v>
      </c>
      <c r="C67" s="94" t="s">
        <v>198</v>
      </c>
      <c r="D67" s="94">
        <v>1955</v>
      </c>
      <c r="E67" s="94">
        <v>5</v>
      </c>
      <c r="F67" s="109">
        <v>4191.2</v>
      </c>
      <c r="G67" s="109">
        <v>3885.4</v>
      </c>
      <c r="H67" s="109">
        <v>2625.3</v>
      </c>
      <c r="I67" s="94">
        <v>103</v>
      </c>
      <c r="J67" s="94" t="s">
        <v>27</v>
      </c>
      <c r="K67" s="94" t="s">
        <v>28</v>
      </c>
      <c r="L67" s="19"/>
      <c r="M67" s="102">
        <f>SUM(N67:U67)</f>
        <v>22397932.25</v>
      </c>
      <c r="N67" s="102">
        <f>ROUND(G67*616.25,2)</f>
        <v>2394377.75</v>
      </c>
      <c r="O67" s="102">
        <f>ROUND(G67*3201.73,2)</f>
        <v>12440001.74</v>
      </c>
      <c r="P67" s="102"/>
      <c r="Q67" s="102">
        <f>ROUND(G67*620.83,2)</f>
        <v>2412172.88</v>
      </c>
      <c r="R67" s="102">
        <f>ROUND(G67*660.21,2)</f>
        <v>2565179.9300000002</v>
      </c>
      <c r="S67" s="102"/>
      <c r="T67" s="102">
        <f>ROUND(G67*665.62,2)</f>
        <v>2586199.9500000002</v>
      </c>
      <c r="U67" s="19"/>
      <c r="V67" s="19"/>
      <c r="W67" s="19"/>
      <c r="X67" s="19"/>
      <c r="Y67" s="19"/>
      <c r="Z67" s="19"/>
      <c r="AA67" s="102">
        <v>1271794.8</v>
      </c>
      <c r="AB67" s="102">
        <f t="shared" ref="AB67:AB73" si="59">ROUND((M67+V67+W67+X67+Y67+Z67)*0.015,2)</f>
        <v>335968.98</v>
      </c>
      <c r="AC67" s="102">
        <f t="shared" ref="AC67:AC73" si="60">SUM(N67:AB67)</f>
        <v>24005696.030000001</v>
      </c>
      <c r="AD67" s="102"/>
      <c r="AE67" s="19"/>
      <c r="AF67" s="102">
        <f t="shared" ref="AF67:AF73" si="61">AC67-(AD67+AE67)</f>
        <v>24005696.030000001</v>
      </c>
      <c r="AG67" s="94">
        <v>2025</v>
      </c>
      <c r="AH67" s="94">
        <v>2025</v>
      </c>
    </row>
    <row r="68" spans="1:69" ht="109.9" customHeight="1" x14ac:dyDescent="0.35">
      <c r="A68" s="94">
        <v>51</v>
      </c>
      <c r="B68" s="95" t="s">
        <v>25</v>
      </c>
      <c r="C68" s="94" t="s">
        <v>199</v>
      </c>
      <c r="D68" s="94">
        <v>1959</v>
      </c>
      <c r="E68" s="94">
        <v>5</v>
      </c>
      <c r="F68" s="109">
        <v>5943.3</v>
      </c>
      <c r="G68" s="109">
        <f>4446.1+1014.4</f>
        <v>5460.5</v>
      </c>
      <c r="H68" s="109">
        <v>4446.1000000000004</v>
      </c>
      <c r="I68" s="94">
        <v>195</v>
      </c>
      <c r="J68" s="94" t="s">
        <v>27</v>
      </c>
      <c r="K68" s="94" t="s">
        <v>28</v>
      </c>
      <c r="L68" s="19"/>
      <c r="M68" s="102"/>
      <c r="N68" s="102"/>
      <c r="O68" s="102"/>
      <c r="P68" s="102"/>
      <c r="Q68" s="102"/>
      <c r="R68" s="102"/>
      <c r="S68" s="19"/>
      <c r="T68" s="102"/>
      <c r="U68" s="19"/>
      <c r="V68" s="19"/>
      <c r="W68" s="19"/>
      <c r="X68" s="19"/>
      <c r="Y68" s="102">
        <f>ROUND(G68*3435.59,2)</f>
        <v>18760039.199999999</v>
      </c>
      <c r="Z68" s="19"/>
      <c r="AA68" s="102">
        <v>1157372.3999999999</v>
      </c>
      <c r="AB68" s="102">
        <f t="shared" si="59"/>
        <v>281400.59000000003</v>
      </c>
      <c r="AC68" s="102">
        <f t="shared" si="60"/>
        <v>20198812.189999998</v>
      </c>
      <c r="AD68" s="102"/>
      <c r="AE68" s="19"/>
      <c r="AF68" s="102">
        <f t="shared" si="61"/>
        <v>20198812.189999998</v>
      </c>
      <c r="AG68" s="94">
        <v>2025</v>
      </c>
      <c r="AH68" s="94">
        <v>2025</v>
      </c>
    </row>
    <row r="69" spans="1:69" ht="109.9" customHeight="1" x14ac:dyDescent="0.35">
      <c r="A69" s="94">
        <v>52</v>
      </c>
      <c r="B69" s="95" t="s">
        <v>25</v>
      </c>
      <c r="C69" s="94" t="s">
        <v>200</v>
      </c>
      <c r="D69" s="94">
        <v>1990</v>
      </c>
      <c r="E69" s="94">
        <v>4</v>
      </c>
      <c r="F69" s="109">
        <v>1022.3</v>
      </c>
      <c r="G69" s="109">
        <f>632.2+289.5</f>
        <v>921.7</v>
      </c>
      <c r="H69" s="109">
        <v>632.20000000000005</v>
      </c>
      <c r="I69" s="94">
        <v>21</v>
      </c>
      <c r="J69" s="94" t="s">
        <v>27</v>
      </c>
      <c r="K69" s="94" t="s">
        <v>28</v>
      </c>
      <c r="L69" s="19"/>
      <c r="M69" s="102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02">
        <f>ROUND(G69*1954.25,2)</f>
        <v>1801232.23</v>
      </c>
      <c r="Y69" s="102">
        <f>ROUND(G69*3842.27,2)</f>
        <v>3541420.26</v>
      </c>
      <c r="Z69" s="102">
        <f>ROUND(G69*1135.41,2)</f>
        <v>1046507.4</v>
      </c>
      <c r="AA69" s="102">
        <v>883184.4</v>
      </c>
      <c r="AB69" s="102">
        <f t="shared" si="59"/>
        <v>95837.4</v>
      </c>
      <c r="AC69" s="102">
        <f t="shared" si="60"/>
        <v>7368181.6900000013</v>
      </c>
      <c r="AD69" s="102"/>
      <c r="AE69" s="19"/>
      <c r="AF69" s="102">
        <f t="shared" si="61"/>
        <v>7368181.6900000013</v>
      </c>
      <c r="AG69" s="94">
        <v>2025</v>
      </c>
      <c r="AH69" s="94">
        <v>2025</v>
      </c>
    </row>
    <row r="70" spans="1:69" ht="109.9" customHeight="1" x14ac:dyDescent="0.35">
      <c r="A70" s="94">
        <v>53</v>
      </c>
      <c r="B70" s="95" t="s">
        <v>25</v>
      </c>
      <c r="C70" s="94" t="s">
        <v>152</v>
      </c>
      <c r="D70" s="94">
        <v>1960</v>
      </c>
      <c r="E70" s="94">
        <v>5</v>
      </c>
      <c r="F70" s="109">
        <v>3424.4</v>
      </c>
      <c r="G70" s="109">
        <v>3184.3</v>
      </c>
      <c r="H70" s="109">
        <v>3001.9</v>
      </c>
      <c r="I70" s="94">
        <v>147</v>
      </c>
      <c r="J70" s="94" t="s">
        <v>27</v>
      </c>
      <c r="K70" s="94" t="s">
        <v>28</v>
      </c>
      <c r="L70" s="19"/>
      <c r="M70" s="102"/>
      <c r="N70" s="19"/>
      <c r="O70" s="19"/>
      <c r="P70" s="19"/>
      <c r="Q70" s="19"/>
      <c r="R70" s="19"/>
      <c r="S70" s="19"/>
      <c r="T70" s="19"/>
      <c r="U70" s="19"/>
      <c r="V70" s="102"/>
      <c r="W70" s="102">
        <f>ROUND(G70*3855.19,2)</f>
        <v>12276081.52</v>
      </c>
      <c r="X70" s="19"/>
      <c r="Y70" s="19"/>
      <c r="Z70" s="19"/>
      <c r="AA70" s="102">
        <v>1106822.3999999999</v>
      </c>
      <c r="AB70" s="102">
        <f t="shared" si="59"/>
        <v>184141.22</v>
      </c>
      <c r="AC70" s="102">
        <f t="shared" si="60"/>
        <v>13567045.140000001</v>
      </c>
      <c r="AD70" s="102"/>
      <c r="AE70" s="19"/>
      <c r="AF70" s="102">
        <f t="shared" si="61"/>
        <v>13567045.140000001</v>
      </c>
      <c r="AG70" s="94">
        <v>2025</v>
      </c>
      <c r="AH70" s="94">
        <v>2025</v>
      </c>
    </row>
    <row r="71" spans="1:69" ht="109.9" customHeight="1" x14ac:dyDescent="0.35">
      <c r="A71" s="94">
        <v>54</v>
      </c>
      <c r="B71" s="95" t="s">
        <v>25</v>
      </c>
      <c r="C71" s="94" t="s">
        <v>153</v>
      </c>
      <c r="D71" s="94">
        <v>1959</v>
      </c>
      <c r="E71" s="94">
        <v>5</v>
      </c>
      <c r="F71" s="109">
        <v>3832.4</v>
      </c>
      <c r="G71" s="109">
        <v>3488.1</v>
      </c>
      <c r="H71" s="109">
        <v>2854.9</v>
      </c>
      <c r="I71" s="94">
        <v>92</v>
      </c>
      <c r="J71" s="94" t="s">
        <v>27</v>
      </c>
      <c r="K71" s="94" t="s">
        <v>28</v>
      </c>
      <c r="L71" s="19"/>
      <c r="M71" s="102"/>
      <c r="N71" s="19"/>
      <c r="O71" s="19"/>
      <c r="P71" s="19"/>
      <c r="Q71" s="19"/>
      <c r="R71" s="19"/>
      <c r="S71" s="19"/>
      <c r="T71" s="19"/>
      <c r="U71" s="19"/>
      <c r="V71" s="19"/>
      <c r="W71" s="102">
        <f>ROUND(G71*3855.19,2)</f>
        <v>13447288.24</v>
      </c>
      <c r="X71" s="19"/>
      <c r="Y71" s="19"/>
      <c r="Z71" s="19"/>
      <c r="AA71" s="102">
        <v>1181968.8</v>
      </c>
      <c r="AB71" s="102">
        <f t="shared" si="59"/>
        <v>201709.32</v>
      </c>
      <c r="AC71" s="102">
        <f t="shared" si="60"/>
        <v>14830966.360000001</v>
      </c>
      <c r="AD71" s="102"/>
      <c r="AE71" s="19"/>
      <c r="AF71" s="102">
        <f t="shared" si="61"/>
        <v>14830966.360000001</v>
      </c>
      <c r="AG71" s="94">
        <v>2025</v>
      </c>
      <c r="AH71" s="94">
        <v>2025</v>
      </c>
      <c r="AI71" s="181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"/>
      <c r="BE71" s="14"/>
      <c r="BF71" s="14"/>
      <c r="BG71" s="14"/>
      <c r="BH71" s="14"/>
      <c r="BI71" s="14"/>
      <c r="BJ71" s="78"/>
      <c r="BK71" s="14"/>
      <c r="BL71" s="14"/>
      <c r="BM71" s="14"/>
      <c r="BN71" s="14"/>
      <c r="BO71" s="14"/>
      <c r="BP71" s="14"/>
      <c r="BQ71" s="14"/>
    </row>
    <row r="72" spans="1:69" ht="109.9" customHeight="1" x14ac:dyDescent="0.35">
      <c r="A72" s="94">
        <v>55</v>
      </c>
      <c r="B72" s="95" t="s">
        <v>25</v>
      </c>
      <c r="C72" s="94" t="s">
        <v>154</v>
      </c>
      <c r="D72" s="94">
        <v>1954</v>
      </c>
      <c r="E72" s="94">
        <v>5</v>
      </c>
      <c r="F72" s="109">
        <v>3287.3</v>
      </c>
      <c r="G72" s="109">
        <f>2186.4+696.9</f>
        <v>2883.3</v>
      </c>
      <c r="H72" s="109">
        <f>2186.4</f>
        <v>2186.4</v>
      </c>
      <c r="I72" s="94">
        <v>70</v>
      </c>
      <c r="J72" s="94" t="s">
        <v>27</v>
      </c>
      <c r="K72" s="94" t="s">
        <v>28</v>
      </c>
      <c r="L72" s="19"/>
      <c r="M72" s="102">
        <f>SUM(N72:U72)</f>
        <v>1776833.63</v>
      </c>
      <c r="N72" s="102">
        <f>ROUND(G72*616.25,2)</f>
        <v>1776833.63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02">
        <v>470856</v>
      </c>
      <c r="AB72" s="102">
        <f t="shared" si="59"/>
        <v>26652.5</v>
      </c>
      <c r="AC72" s="102">
        <f t="shared" si="60"/>
        <v>2274342.13</v>
      </c>
      <c r="AD72" s="102"/>
      <c r="AE72" s="19"/>
      <c r="AF72" s="102">
        <f t="shared" si="61"/>
        <v>2274342.13</v>
      </c>
      <c r="AG72" s="94">
        <v>2025</v>
      </c>
      <c r="AH72" s="94">
        <v>2025</v>
      </c>
      <c r="AI72" s="181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"/>
      <c r="BB72" s="14"/>
      <c r="BC72" s="14"/>
      <c r="BD72" s="14"/>
      <c r="BE72" s="14"/>
      <c r="BF72" s="14"/>
      <c r="BG72" s="14"/>
      <c r="BH72" s="14"/>
      <c r="BI72" s="14"/>
      <c r="BJ72" s="78"/>
      <c r="BK72" s="14"/>
      <c r="BL72" s="14"/>
      <c r="BM72" s="14"/>
      <c r="BN72" s="14"/>
      <c r="BO72" s="14"/>
      <c r="BP72" s="14"/>
      <c r="BQ72" s="14"/>
    </row>
    <row r="73" spans="1:69" ht="109.9" customHeight="1" x14ac:dyDescent="0.35">
      <c r="A73" s="94">
        <v>56</v>
      </c>
      <c r="B73" s="95" t="s">
        <v>25</v>
      </c>
      <c r="C73" s="94" t="s">
        <v>155</v>
      </c>
      <c r="D73" s="94">
        <v>1952</v>
      </c>
      <c r="E73" s="94">
        <v>4</v>
      </c>
      <c r="F73" s="109">
        <v>2314.6</v>
      </c>
      <c r="G73" s="109">
        <v>2100.1</v>
      </c>
      <c r="H73" s="109">
        <v>1326.2</v>
      </c>
      <c r="I73" s="94">
        <v>49</v>
      </c>
      <c r="J73" s="94" t="s">
        <v>27</v>
      </c>
      <c r="K73" s="94" t="s">
        <v>28</v>
      </c>
      <c r="L73" s="19"/>
      <c r="M73" s="102">
        <f t="shared" ref="M73" si="62">SUM(N73:U73)</f>
        <v>7872770.8900000006</v>
      </c>
      <c r="N73" s="102">
        <f>ROUND(G73*616.25,2)</f>
        <v>1294186.6299999999</v>
      </c>
      <c r="O73" s="102">
        <f>ROUND(G73*871.5,2)</f>
        <v>1830237.15</v>
      </c>
      <c r="P73" s="102"/>
      <c r="Q73" s="102">
        <f>ROUND(G73*596.38,2)</f>
        <v>1252457.6399999999</v>
      </c>
      <c r="R73" s="102">
        <f>ROUND(G73*589.88,2)</f>
        <v>1238806.99</v>
      </c>
      <c r="S73" s="19"/>
      <c r="T73" s="102">
        <f>ROUND(G73*1074.75,2)</f>
        <v>2257082.48</v>
      </c>
      <c r="U73" s="102"/>
      <c r="V73" s="19"/>
      <c r="W73" s="19"/>
      <c r="X73" s="19"/>
      <c r="Y73" s="19"/>
      <c r="Z73" s="19"/>
      <c r="AA73" s="102">
        <v>947386.8</v>
      </c>
      <c r="AB73" s="102">
        <f t="shared" si="59"/>
        <v>118091.56</v>
      </c>
      <c r="AC73" s="102">
        <f t="shared" si="60"/>
        <v>8938249.2500000019</v>
      </c>
      <c r="AD73" s="102"/>
      <c r="AE73" s="19"/>
      <c r="AF73" s="102">
        <f t="shared" si="61"/>
        <v>8938249.2500000019</v>
      </c>
      <c r="AG73" s="94">
        <v>2025</v>
      </c>
      <c r="AH73" s="94">
        <v>2025</v>
      </c>
      <c r="AI73" s="107"/>
      <c r="AJ73" s="107"/>
      <c r="AK73" s="107"/>
      <c r="AL73" s="107"/>
      <c r="AM73" s="107"/>
      <c r="AN73" s="107"/>
      <c r="AO73" s="79"/>
      <c r="AP73" s="107"/>
      <c r="AQ73" s="107"/>
      <c r="AR73" s="107"/>
      <c r="AS73" s="80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81"/>
      <c r="BK73" s="107"/>
      <c r="BL73" s="107"/>
      <c r="BM73" s="107"/>
      <c r="BN73" s="107"/>
      <c r="BO73" s="107"/>
      <c r="BP73" s="107"/>
      <c r="BQ73" s="107"/>
    </row>
    <row r="74" spans="1:69" ht="109.9" customHeight="1" x14ac:dyDescent="0.35">
      <c r="A74" s="94">
        <v>57</v>
      </c>
      <c r="B74" s="95" t="s">
        <v>25</v>
      </c>
      <c r="C74" s="94" t="s">
        <v>201</v>
      </c>
      <c r="D74" s="94">
        <v>1956</v>
      </c>
      <c r="E74" s="94">
        <v>5</v>
      </c>
      <c r="F74" s="109">
        <v>6356</v>
      </c>
      <c r="G74" s="109">
        <v>5847</v>
      </c>
      <c r="H74" s="109">
        <v>4091.5</v>
      </c>
      <c r="I74" s="94">
        <v>144</v>
      </c>
      <c r="J74" s="94" t="s">
        <v>26</v>
      </c>
      <c r="K74" s="94" t="s">
        <v>28</v>
      </c>
      <c r="L74" s="19"/>
      <c r="M74" s="102">
        <f>SUM(N74:U74)</f>
        <v>18720515.309999999</v>
      </c>
      <c r="N74" s="102"/>
      <c r="O74" s="102">
        <f>ROUND(G74*3201.73,2)</f>
        <v>18720515.309999999</v>
      </c>
      <c r="P74" s="102"/>
      <c r="Q74" s="102"/>
      <c r="R74" s="102"/>
      <c r="S74" s="102"/>
      <c r="T74" s="102"/>
      <c r="U74" s="19"/>
      <c r="V74" s="19"/>
      <c r="W74" s="19"/>
      <c r="X74" s="19"/>
      <c r="Y74" s="19"/>
      <c r="Z74" s="19"/>
      <c r="AA74" s="102">
        <v>665795.19999999995</v>
      </c>
      <c r="AB74" s="102">
        <f>ROUND((M74+V74+W74+X74+Y74+Z74)*0.015,2)</f>
        <v>280807.73</v>
      </c>
      <c r="AC74" s="102">
        <f>SUM(N74:AB74)</f>
        <v>19667118.239999998</v>
      </c>
      <c r="AD74" s="19"/>
      <c r="AE74" s="19"/>
      <c r="AF74" s="102">
        <f>AC74-(AD74+AE74)</f>
        <v>19667118.239999998</v>
      </c>
      <c r="AG74" s="94">
        <v>2025</v>
      </c>
      <c r="AH74" s="94">
        <v>2025</v>
      </c>
    </row>
    <row r="75" spans="1:69" ht="109.9" customHeight="1" x14ac:dyDescent="0.35">
      <c r="A75" s="94">
        <v>58</v>
      </c>
      <c r="B75" s="95" t="s">
        <v>25</v>
      </c>
      <c r="C75" s="94" t="s">
        <v>156</v>
      </c>
      <c r="D75" s="94">
        <v>1957</v>
      </c>
      <c r="E75" s="94">
        <v>4</v>
      </c>
      <c r="F75" s="109">
        <v>2939.5</v>
      </c>
      <c r="G75" s="109">
        <v>2737</v>
      </c>
      <c r="H75" s="109" t="s">
        <v>46</v>
      </c>
      <c r="I75" s="94">
        <v>60</v>
      </c>
      <c r="J75" s="94" t="s">
        <v>27</v>
      </c>
      <c r="K75" s="94" t="s">
        <v>28</v>
      </c>
      <c r="L75" s="19"/>
      <c r="M75" s="102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02">
        <f t="shared" ref="X75" si="63">ROUND(G75*1954.25,2)</f>
        <v>5348782.25</v>
      </c>
      <c r="Y75" s="102"/>
      <c r="Z75" s="102">
        <f t="shared" ref="Z75" si="64">ROUND(G75*1135.41,2)</f>
        <v>3107617.17</v>
      </c>
      <c r="AA75" s="102">
        <v>848612.4</v>
      </c>
      <c r="AB75" s="102">
        <f>ROUND((M75+V75+W75+X75+Y75+Z75)*0.015,2)</f>
        <v>126845.99</v>
      </c>
      <c r="AC75" s="102">
        <f>SUM(N75:AB75)</f>
        <v>9431857.8100000005</v>
      </c>
      <c r="AD75" s="19"/>
      <c r="AE75" s="19"/>
      <c r="AF75" s="102">
        <f>AC75-(AD75+AE75)</f>
        <v>9431857.8100000005</v>
      </c>
      <c r="AG75" s="94">
        <v>2025</v>
      </c>
      <c r="AH75" s="94">
        <v>2025</v>
      </c>
    </row>
    <row r="76" spans="1:69" ht="109.9" customHeight="1" x14ac:dyDescent="0.35">
      <c r="A76" s="94">
        <v>59</v>
      </c>
      <c r="B76" s="95" t="s">
        <v>25</v>
      </c>
      <c r="C76" s="94" t="s">
        <v>157</v>
      </c>
      <c r="D76" s="94">
        <v>1994</v>
      </c>
      <c r="E76" s="94">
        <v>7</v>
      </c>
      <c r="F76" s="109">
        <v>4091.5</v>
      </c>
      <c r="G76" s="109">
        <v>2376.5</v>
      </c>
      <c r="H76" s="109">
        <v>3638.2</v>
      </c>
      <c r="I76" s="94">
        <v>134</v>
      </c>
      <c r="J76" s="94" t="s">
        <v>27</v>
      </c>
      <c r="K76" s="94" t="s">
        <v>28</v>
      </c>
      <c r="L76" s="19"/>
      <c r="M76" s="102"/>
      <c r="N76" s="19"/>
      <c r="O76" s="19"/>
      <c r="P76" s="19"/>
      <c r="Q76" s="19"/>
      <c r="R76" s="19"/>
      <c r="S76" s="19"/>
      <c r="T76" s="19"/>
      <c r="U76" s="19"/>
      <c r="V76" s="19"/>
      <c r="W76" s="102">
        <f>ROUND(G76*2138.99,2)</f>
        <v>5083309.74</v>
      </c>
      <c r="X76" s="19"/>
      <c r="Y76" s="19"/>
      <c r="Z76" s="19"/>
      <c r="AA76" s="102">
        <v>1142593.2</v>
      </c>
      <c r="AB76" s="102">
        <f>ROUND((M76+V76+W76+X76+Y76+Z76)*0.015,2)</f>
        <v>76249.649999999994</v>
      </c>
      <c r="AC76" s="102">
        <f>SUM(N76:AB76)</f>
        <v>6302152.5900000008</v>
      </c>
      <c r="AD76" s="19"/>
      <c r="AE76" s="19"/>
      <c r="AF76" s="102">
        <f>AC76-(AD76+AE76)</f>
        <v>6302152.5900000008</v>
      </c>
      <c r="AG76" s="94">
        <v>2025</v>
      </c>
      <c r="AH76" s="94">
        <v>2025</v>
      </c>
    </row>
    <row r="77" spans="1:69" ht="109.9" customHeight="1" x14ac:dyDescent="0.35">
      <c r="A77" s="94">
        <v>60</v>
      </c>
      <c r="B77" s="95" t="s">
        <v>25</v>
      </c>
      <c r="C77" s="94" t="s">
        <v>158</v>
      </c>
      <c r="D77" s="94">
        <v>1955</v>
      </c>
      <c r="E77" s="94">
        <v>5</v>
      </c>
      <c r="F77" s="109">
        <v>4428.5</v>
      </c>
      <c r="G77" s="109">
        <v>3955.5</v>
      </c>
      <c r="H77" s="109">
        <v>1616.9</v>
      </c>
      <c r="I77" s="94">
        <v>75</v>
      </c>
      <c r="J77" s="94" t="s">
        <v>27</v>
      </c>
      <c r="K77" s="94" t="s">
        <v>181</v>
      </c>
      <c r="L77" s="19"/>
      <c r="M77" s="102">
        <f t="shared" ref="M77" si="65">SUM(N77:U77)</f>
        <v>22802033.539999999</v>
      </c>
      <c r="N77" s="102">
        <f>ROUND(G77*616.25,2)</f>
        <v>2437576.88</v>
      </c>
      <c r="O77" s="102">
        <f>ROUND(G77*3201.73,2)</f>
        <v>12664443.02</v>
      </c>
      <c r="P77" s="102"/>
      <c r="Q77" s="102">
        <f>ROUND(G77*620.83,2)</f>
        <v>2455693.0699999998</v>
      </c>
      <c r="R77" s="102">
        <f>ROUND(G77*660.21,2)</f>
        <v>2611460.66</v>
      </c>
      <c r="S77" s="102"/>
      <c r="T77" s="102">
        <f>ROUND(G77*665.62,2)</f>
        <v>2632859.91</v>
      </c>
      <c r="U77" s="19"/>
      <c r="V77" s="19"/>
      <c r="W77" s="19"/>
      <c r="X77" s="19"/>
      <c r="Y77" s="19"/>
      <c r="Z77" s="19"/>
      <c r="AA77" s="102">
        <v>1450280.4</v>
      </c>
      <c r="AB77" s="102">
        <f t="shared" ref="AB77:AB102" si="66">ROUND((M77+V77+W77+X77+Y77+Z77)*0.015,2)</f>
        <v>342030.5</v>
      </c>
      <c r="AC77" s="102">
        <f t="shared" ref="AC77:AC102" si="67">SUM(N77:AB77)</f>
        <v>24594344.439999998</v>
      </c>
      <c r="AD77" s="19"/>
      <c r="AE77" s="19"/>
      <c r="AF77" s="102">
        <f t="shared" ref="AF77:AF102" si="68">AC77-(AD77+AE77)</f>
        <v>24594344.439999998</v>
      </c>
      <c r="AG77" s="94">
        <v>2025</v>
      </c>
      <c r="AH77" s="94">
        <v>2025</v>
      </c>
    </row>
    <row r="78" spans="1:69" ht="109.9" customHeight="1" x14ac:dyDescent="0.35">
      <c r="A78" s="94">
        <v>61</v>
      </c>
      <c r="B78" s="95" t="s">
        <v>25</v>
      </c>
      <c r="C78" s="94" t="s">
        <v>159</v>
      </c>
      <c r="D78" s="94">
        <v>1950</v>
      </c>
      <c r="E78" s="94">
        <v>4</v>
      </c>
      <c r="F78" s="109">
        <v>1853.9</v>
      </c>
      <c r="G78" s="109">
        <f>1101.1+619.1</f>
        <v>1720.1999999999998</v>
      </c>
      <c r="H78" s="109">
        <v>619.1</v>
      </c>
      <c r="I78" s="94">
        <v>39</v>
      </c>
      <c r="J78" s="94" t="s">
        <v>27</v>
      </c>
      <c r="K78" s="94" t="s">
        <v>28</v>
      </c>
      <c r="L78" s="19" t="s">
        <v>9</v>
      </c>
      <c r="M78" s="102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02">
        <f>ROUND(G78*1954.251,2)</f>
        <v>3361702.57</v>
      </c>
      <c r="Y78" s="102">
        <f>ROUND(G78*6728.86*1.002,2)</f>
        <v>11598134.939999999</v>
      </c>
      <c r="Z78" s="102">
        <f>ROUND(G78*1135.41,2)</f>
        <v>1953132.28</v>
      </c>
      <c r="AA78" s="102">
        <f>768372+820137.6</f>
        <v>1588509.6</v>
      </c>
      <c r="AB78" s="102">
        <f t="shared" si="66"/>
        <v>253694.55</v>
      </c>
      <c r="AC78" s="102">
        <f t="shared" si="67"/>
        <v>18755173.940000001</v>
      </c>
      <c r="AD78" s="19"/>
      <c r="AE78" s="19"/>
      <c r="AF78" s="102">
        <f t="shared" si="68"/>
        <v>18755173.940000001</v>
      </c>
      <c r="AG78" s="94">
        <v>2025</v>
      </c>
      <c r="AH78" s="94">
        <v>2025</v>
      </c>
      <c r="AI78" s="107"/>
      <c r="AJ78" s="77"/>
      <c r="AK78" s="77"/>
      <c r="AL78" s="77"/>
      <c r="AM78" s="77"/>
      <c r="AN78" s="77"/>
      <c r="AO78" s="79"/>
      <c r="AP78" s="107"/>
      <c r="AQ78" s="107"/>
      <c r="AR78" s="12"/>
      <c r="AS78" s="82"/>
      <c r="AT78" s="83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84"/>
      <c r="BK78" s="107"/>
      <c r="BL78" s="107"/>
      <c r="BM78" s="107"/>
      <c r="BN78" s="107"/>
      <c r="BO78" s="107"/>
      <c r="BP78" s="107"/>
      <c r="BQ78" s="107"/>
    </row>
    <row r="79" spans="1:69" ht="109.9" customHeight="1" x14ac:dyDescent="0.35">
      <c r="A79" s="94">
        <v>62</v>
      </c>
      <c r="B79" s="95" t="s">
        <v>25</v>
      </c>
      <c r="C79" s="94" t="s">
        <v>160</v>
      </c>
      <c r="D79" s="94">
        <v>1959</v>
      </c>
      <c r="E79" s="94">
        <v>4</v>
      </c>
      <c r="F79" s="109">
        <v>1362.9</v>
      </c>
      <c r="G79" s="109">
        <v>1267.3</v>
      </c>
      <c r="H79" s="109">
        <v>1267.3</v>
      </c>
      <c r="I79" s="94">
        <v>32</v>
      </c>
      <c r="J79" s="94" t="s">
        <v>27</v>
      </c>
      <c r="K79" s="94" t="s">
        <v>28</v>
      </c>
      <c r="L79" s="19"/>
      <c r="M79" s="102"/>
      <c r="N79" s="19"/>
      <c r="O79" s="19"/>
      <c r="P79" s="19"/>
      <c r="Q79" s="19"/>
      <c r="R79" s="19"/>
      <c r="S79" s="19"/>
      <c r="T79" s="19"/>
      <c r="U79" s="19"/>
      <c r="V79" s="19"/>
      <c r="W79" s="102">
        <f>ROUND(G79*5975.33,2)</f>
        <v>7572535.71</v>
      </c>
      <c r="X79" s="19"/>
      <c r="Y79" s="19"/>
      <c r="Z79" s="19"/>
      <c r="AA79" s="102">
        <v>727611.6</v>
      </c>
      <c r="AB79" s="102">
        <f>ROUND((M79+V79+W79+X79+Y79+Z79)*0.015,2)</f>
        <v>113588.04</v>
      </c>
      <c r="AC79" s="102">
        <f>SUM(N79:AB79)</f>
        <v>8413735.3499999996</v>
      </c>
      <c r="AD79" s="19"/>
      <c r="AE79" s="19"/>
      <c r="AF79" s="102">
        <f>AC79-(AD79+AE79)</f>
        <v>8413735.3499999996</v>
      </c>
      <c r="AG79" s="94">
        <v>2025</v>
      </c>
      <c r="AH79" s="94">
        <v>2025</v>
      </c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77"/>
      <c r="BF79" s="77"/>
      <c r="BG79" s="77"/>
      <c r="BH79" s="77"/>
      <c r="BI79" s="77"/>
      <c r="BJ79" s="85"/>
      <c r="BK79" s="77"/>
      <c r="BL79" s="77"/>
      <c r="BM79" s="77"/>
      <c r="BN79" s="77"/>
      <c r="BO79" s="13"/>
      <c r="BP79" s="13"/>
      <c r="BQ79" s="13"/>
    </row>
    <row r="80" spans="1:69" ht="109.9" customHeight="1" x14ac:dyDescent="0.35">
      <c r="A80" s="94">
        <v>63</v>
      </c>
      <c r="B80" s="95" t="s">
        <v>25</v>
      </c>
      <c r="C80" s="94" t="s">
        <v>161</v>
      </c>
      <c r="D80" s="94">
        <v>1960</v>
      </c>
      <c r="E80" s="94">
        <v>5</v>
      </c>
      <c r="F80" s="109">
        <v>1792.6</v>
      </c>
      <c r="G80" s="109">
        <v>1671.8</v>
      </c>
      <c r="H80" s="109">
        <v>1595.5</v>
      </c>
      <c r="I80" s="94">
        <v>68</v>
      </c>
      <c r="J80" s="94" t="s">
        <v>27</v>
      </c>
      <c r="K80" s="94" t="s">
        <v>28</v>
      </c>
      <c r="L80" s="19"/>
      <c r="M80" s="102"/>
      <c r="N80" s="19"/>
      <c r="O80" s="19"/>
      <c r="P80" s="19"/>
      <c r="Q80" s="19"/>
      <c r="R80" s="19"/>
      <c r="S80" s="19"/>
      <c r="T80" s="19"/>
      <c r="U80" s="19"/>
      <c r="V80" s="19"/>
      <c r="W80" s="102">
        <f>ROUND(G80*3855.19,2)</f>
        <v>6445106.6399999997</v>
      </c>
      <c r="X80" s="19"/>
      <c r="Y80" s="19"/>
      <c r="Z80" s="19"/>
      <c r="AA80" s="102">
        <v>979496.4</v>
      </c>
      <c r="AB80" s="102">
        <f t="shared" ref="AB80:AB81" si="69">ROUND((M80+V80+W80+X80+Y80+Z80)*0.015,2)</f>
        <v>96676.6</v>
      </c>
      <c r="AC80" s="102">
        <f t="shared" ref="AC80:AC81" si="70">SUM(N80:AB80)</f>
        <v>7521279.6399999997</v>
      </c>
      <c r="AD80" s="19"/>
      <c r="AE80" s="19"/>
      <c r="AF80" s="102">
        <f t="shared" ref="AF80:AF81" si="71">AC80-(AD80+AE80)</f>
        <v>7521279.6399999997</v>
      </c>
      <c r="AG80" s="94">
        <v>2025</v>
      </c>
      <c r="AH80" s="94">
        <v>2025</v>
      </c>
    </row>
    <row r="81" spans="1:69" ht="109.9" customHeight="1" x14ac:dyDescent="0.35">
      <c r="A81" s="94">
        <v>64</v>
      </c>
      <c r="B81" s="95" t="s">
        <v>25</v>
      </c>
      <c r="C81" s="94" t="s">
        <v>162</v>
      </c>
      <c r="D81" s="94">
        <v>1960</v>
      </c>
      <c r="E81" s="94">
        <v>5</v>
      </c>
      <c r="F81" s="109">
        <v>1740</v>
      </c>
      <c r="G81" s="109">
        <v>1617.4</v>
      </c>
      <c r="H81" s="109">
        <v>1617.4</v>
      </c>
      <c r="I81" s="94">
        <v>77</v>
      </c>
      <c r="J81" s="94" t="s">
        <v>27</v>
      </c>
      <c r="K81" s="94" t="s">
        <v>28</v>
      </c>
      <c r="L81" s="19"/>
      <c r="M81" s="102"/>
      <c r="N81" s="19"/>
      <c r="O81" s="19"/>
      <c r="P81" s="19"/>
      <c r="Q81" s="19"/>
      <c r="R81" s="19"/>
      <c r="S81" s="19"/>
      <c r="T81" s="19"/>
      <c r="U81" s="19"/>
      <c r="V81" s="19"/>
      <c r="W81" s="102">
        <f>ROUND(G81*3855.19,2)</f>
        <v>6235384.3099999996</v>
      </c>
      <c r="X81" s="19"/>
      <c r="Y81" s="19"/>
      <c r="Z81" s="19"/>
      <c r="AA81" s="102">
        <v>967886.4</v>
      </c>
      <c r="AB81" s="102">
        <f t="shared" si="69"/>
        <v>93530.76</v>
      </c>
      <c r="AC81" s="102">
        <f t="shared" si="70"/>
        <v>7296801.4699999997</v>
      </c>
      <c r="AD81" s="19"/>
      <c r="AE81" s="19"/>
      <c r="AF81" s="102">
        <f t="shared" si="71"/>
        <v>7296801.4699999997</v>
      </c>
      <c r="AG81" s="94">
        <v>2025</v>
      </c>
      <c r="AH81" s="94">
        <v>2025</v>
      </c>
    </row>
    <row r="82" spans="1:69" ht="109.9" customHeight="1" x14ac:dyDescent="0.35">
      <c r="A82" s="94">
        <v>65</v>
      </c>
      <c r="B82" s="95" t="s">
        <v>25</v>
      </c>
      <c r="C82" s="94" t="s">
        <v>163</v>
      </c>
      <c r="D82" s="94">
        <v>1955</v>
      </c>
      <c r="E82" s="94">
        <v>5</v>
      </c>
      <c r="F82" s="109">
        <v>3563.5</v>
      </c>
      <c r="G82" s="109">
        <v>3202.7</v>
      </c>
      <c r="H82" s="109">
        <v>2277.1999999999998</v>
      </c>
      <c r="I82" s="94">
        <v>50</v>
      </c>
      <c r="J82" s="94" t="s">
        <v>27</v>
      </c>
      <c r="K82" s="94" t="s">
        <v>28</v>
      </c>
      <c r="L82" s="19"/>
      <c r="M82" s="102">
        <f>SUM(N82:U82)</f>
        <v>18462412.530000001</v>
      </c>
      <c r="N82" s="102">
        <f>ROUND(G82*616.25,2)</f>
        <v>1973663.88</v>
      </c>
      <c r="O82" s="102">
        <f>ROUND(G82*3201.73,2)</f>
        <v>10254180.67</v>
      </c>
      <c r="P82" s="102"/>
      <c r="Q82" s="102">
        <f>ROUND(G82*620.83,2)</f>
        <v>1988332.24</v>
      </c>
      <c r="R82" s="102">
        <f>ROUND(G82*660.21,2)</f>
        <v>2114454.5699999998</v>
      </c>
      <c r="S82" s="102"/>
      <c r="T82" s="102">
        <f>ROUND(G82*665.62,2)</f>
        <v>2131781.17</v>
      </c>
      <c r="U82" s="19"/>
      <c r="V82" s="19"/>
      <c r="W82" s="19"/>
      <c r="X82" s="19"/>
      <c r="Y82" s="19"/>
      <c r="Z82" s="19"/>
      <c r="AA82" s="102">
        <v>1234220.3999999999</v>
      </c>
      <c r="AB82" s="102">
        <f>ROUND((M82+V82+W82+X82+Y82+Z82)*0.015,2)</f>
        <v>276936.19</v>
      </c>
      <c r="AC82" s="102">
        <f>SUM(N82:AB82)</f>
        <v>19973569.120000001</v>
      </c>
      <c r="AD82" s="19"/>
      <c r="AE82" s="19"/>
      <c r="AF82" s="102">
        <f>AC82-(AD82+AE82)</f>
        <v>19973569.120000001</v>
      </c>
      <c r="AG82" s="94">
        <v>2025</v>
      </c>
      <c r="AH82" s="94">
        <v>2025</v>
      </c>
    </row>
    <row r="83" spans="1:69" ht="109.9" customHeight="1" x14ac:dyDescent="0.35">
      <c r="A83" s="94">
        <v>66</v>
      </c>
      <c r="B83" s="95" t="s">
        <v>25</v>
      </c>
      <c r="C83" s="94" t="s">
        <v>164</v>
      </c>
      <c r="D83" s="94">
        <v>1958</v>
      </c>
      <c r="E83" s="94">
        <v>5</v>
      </c>
      <c r="F83" s="109">
        <v>6785.2</v>
      </c>
      <c r="G83" s="109">
        <v>6293.3</v>
      </c>
      <c r="H83" s="109" t="s">
        <v>45</v>
      </c>
      <c r="I83" s="94">
        <v>128</v>
      </c>
      <c r="J83" s="94" t="s">
        <v>27</v>
      </c>
      <c r="K83" s="94" t="s">
        <v>181</v>
      </c>
      <c r="L83" s="19"/>
      <c r="M83" s="102"/>
      <c r="N83" s="19"/>
      <c r="O83" s="19"/>
      <c r="P83" s="19"/>
      <c r="Q83" s="19"/>
      <c r="R83" s="19"/>
      <c r="S83" s="19"/>
      <c r="T83" s="19"/>
      <c r="U83" s="19"/>
      <c r="V83" s="19"/>
      <c r="W83" s="102">
        <f>ROUND(G83*3855.19,2)</f>
        <v>24261867.23</v>
      </c>
      <c r="X83" s="102"/>
      <c r="Y83" s="102"/>
      <c r="Z83" s="102"/>
      <c r="AA83" s="102">
        <v>1446368.4</v>
      </c>
      <c r="AB83" s="102">
        <f>ROUND((M83+V83+W83+X83+Y83+Z83)*0.015,2)</f>
        <v>363928.01</v>
      </c>
      <c r="AC83" s="102">
        <f>SUM(N83:AB83)</f>
        <v>26072163.640000001</v>
      </c>
      <c r="AD83" s="19"/>
      <c r="AE83" s="19"/>
      <c r="AF83" s="102">
        <f>AC83-(AD83+AE83)</f>
        <v>26072163.640000001</v>
      </c>
      <c r="AG83" s="94">
        <v>2025</v>
      </c>
      <c r="AH83" s="94">
        <v>2025</v>
      </c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2"/>
      <c r="BF83" s="12"/>
      <c r="BG83" s="12"/>
      <c r="BH83" s="12"/>
      <c r="BI83" s="12"/>
      <c r="BJ83" s="84"/>
      <c r="BK83" s="12"/>
      <c r="BL83" s="12"/>
      <c r="BM83" s="12"/>
      <c r="BN83" s="12"/>
      <c r="BO83" s="12"/>
      <c r="BP83" s="12"/>
      <c r="BQ83" s="12"/>
    </row>
    <row r="84" spans="1:69" ht="109.9" customHeight="1" x14ac:dyDescent="0.35">
      <c r="A84" s="94">
        <v>67</v>
      </c>
      <c r="B84" s="95" t="s">
        <v>25</v>
      </c>
      <c r="C84" s="94" t="s">
        <v>165</v>
      </c>
      <c r="D84" s="94">
        <v>1959</v>
      </c>
      <c r="E84" s="94">
        <v>5</v>
      </c>
      <c r="F84" s="109">
        <v>6636.8</v>
      </c>
      <c r="G84" s="109">
        <v>6047.4</v>
      </c>
      <c r="H84" s="109">
        <v>4352.3</v>
      </c>
      <c r="I84" s="94">
        <v>150</v>
      </c>
      <c r="J84" s="94" t="s">
        <v>27</v>
      </c>
      <c r="K84" s="94" t="s">
        <v>28</v>
      </c>
      <c r="L84" s="19"/>
      <c r="M84" s="102"/>
      <c r="N84" s="19"/>
      <c r="O84" s="19"/>
      <c r="P84" s="19"/>
      <c r="Q84" s="19"/>
      <c r="R84" s="19"/>
      <c r="S84" s="19"/>
      <c r="T84" s="19"/>
      <c r="U84" s="19"/>
      <c r="V84" s="19"/>
      <c r="W84" s="102">
        <f>ROUND(G84*3855.19,2)</f>
        <v>23313876.010000002</v>
      </c>
      <c r="X84" s="19"/>
      <c r="Y84" s="19"/>
      <c r="Z84" s="19"/>
      <c r="AA84" s="102">
        <v>1417458</v>
      </c>
      <c r="AB84" s="102">
        <f>ROUND((M84+V84+W84+X84+Y84+Z84)*0.015,2)</f>
        <v>349708.14</v>
      </c>
      <c r="AC84" s="102">
        <f>SUM(N84:AB84)</f>
        <v>25081042.150000002</v>
      </c>
      <c r="AD84" s="19"/>
      <c r="AE84" s="19"/>
      <c r="AF84" s="102">
        <f>AC84-(AD84+AE84)</f>
        <v>25081042.150000002</v>
      </c>
      <c r="AG84" s="94">
        <v>2025</v>
      </c>
      <c r="AH84" s="94">
        <v>2025</v>
      </c>
      <c r="AI84" s="182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2"/>
      <c r="BP84" s="12"/>
      <c r="BQ84" s="12"/>
    </row>
    <row r="85" spans="1:69" ht="109.9" customHeight="1" x14ac:dyDescent="0.35">
      <c r="A85" s="94">
        <v>68</v>
      </c>
      <c r="B85" s="95" t="s">
        <v>25</v>
      </c>
      <c r="C85" s="94" t="s">
        <v>166</v>
      </c>
      <c r="D85" s="94">
        <v>1950</v>
      </c>
      <c r="E85" s="94">
        <v>5</v>
      </c>
      <c r="F85" s="109">
        <v>3366.6</v>
      </c>
      <c r="G85" s="109">
        <v>3131.3</v>
      </c>
      <c r="H85" s="109">
        <v>2081.81</v>
      </c>
      <c r="I85" s="94">
        <v>66</v>
      </c>
      <c r="J85" s="94" t="s">
        <v>27</v>
      </c>
      <c r="K85" s="94" t="s">
        <v>28</v>
      </c>
      <c r="L85" s="19"/>
      <c r="M85" s="102">
        <f t="shared" ref="M85:M99" si="72">SUM(N85:U85)</f>
        <v>1058723.8400000001</v>
      </c>
      <c r="N85" s="19"/>
      <c r="O85" s="19"/>
      <c r="P85" s="19"/>
      <c r="Q85" s="19"/>
      <c r="R85" s="19"/>
      <c r="S85" s="19"/>
      <c r="T85" s="19"/>
      <c r="U85" s="102">
        <f t="shared" ref="U85" si="73">ROUND(G85*338.11,2)</f>
        <v>1058723.8400000001</v>
      </c>
      <c r="V85" s="19"/>
      <c r="W85" s="19"/>
      <c r="X85" s="102">
        <f>ROUND(G85*706.71,2)</f>
        <v>2212921.02</v>
      </c>
      <c r="Y85" s="102">
        <f>ROUND(G85*3435.59,2)</f>
        <v>10757862.970000001</v>
      </c>
      <c r="Z85" s="102">
        <f>ROUND(G85*1135.41,2)</f>
        <v>3555309.33</v>
      </c>
      <c r="AA85" s="102">
        <v>1785334.8</v>
      </c>
      <c r="AB85" s="102">
        <f t="shared" si="66"/>
        <v>263772.26</v>
      </c>
      <c r="AC85" s="102">
        <f t="shared" si="67"/>
        <v>19633924.220000006</v>
      </c>
      <c r="AD85" s="19"/>
      <c r="AE85" s="19"/>
      <c r="AF85" s="102">
        <f t="shared" si="68"/>
        <v>19633924.220000006</v>
      </c>
      <c r="AG85" s="94">
        <v>2025</v>
      </c>
      <c r="AH85" s="94">
        <v>2025</v>
      </c>
      <c r="AI85" s="183"/>
      <c r="AJ85" s="139"/>
      <c r="AK85" s="139"/>
      <c r="AL85" s="139"/>
      <c r="AM85" s="139"/>
      <c r="AN85" s="139"/>
      <c r="AO85" s="139"/>
      <c r="AP85" s="139"/>
      <c r="AQ85" s="139"/>
      <c r="AR85" s="12"/>
      <c r="AS85" s="82"/>
      <c r="AT85" s="83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84"/>
      <c r="BK85" s="107"/>
      <c r="BL85" s="107"/>
      <c r="BM85" s="107"/>
      <c r="BN85" s="107"/>
      <c r="BO85" s="107"/>
      <c r="BP85" s="107"/>
      <c r="BQ85" s="107"/>
    </row>
    <row r="86" spans="1:69" ht="109.9" customHeight="1" x14ac:dyDescent="0.35">
      <c r="A86" s="94">
        <v>69</v>
      </c>
      <c r="B86" s="95" t="s">
        <v>25</v>
      </c>
      <c r="C86" s="94" t="s">
        <v>167</v>
      </c>
      <c r="D86" s="94">
        <v>1967</v>
      </c>
      <c r="E86" s="94">
        <v>5</v>
      </c>
      <c r="F86" s="109">
        <v>3527.3</v>
      </c>
      <c r="G86" s="109">
        <v>3269</v>
      </c>
      <c r="H86" s="109" t="s">
        <v>47</v>
      </c>
      <c r="I86" s="94" t="s">
        <v>48</v>
      </c>
      <c r="J86" s="94" t="s">
        <v>27</v>
      </c>
      <c r="K86" s="94" t="s">
        <v>28</v>
      </c>
      <c r="L86" s="19"/>
      <c r="M86" s="102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02">
        <f t="shared" ref="Y86:Y87" si="74">ROUND(G86*3435.59,2)</f>
        <v>11230943.710000001</v>
      </c>
      <c r="Z86" s="19"/>
      <c r="AA86" s="102">
        <v>678650.4</v>
      </c>
      <c r="AB86" s="102">
        <f>ROUND((M86+V86+W86+X86+Y86+Z86)*0.015,2)</f>
        <v>168464.16</v>
      </c>
      <c r="AC86" s="102">
        <f>SUM(N86:AB86)</f>
        <v>12078058.270000001</v>
      </c>
      <c r="AD86" s="19"/>
      <c r="AE86" s="19"/>
      <c r="AF86" s="102">
        <f>AC86-(AD86+AE86)</f>
        <v>12078058.270000001</v>
      </c>
      <c r="AG86" s="94">
        <v>2025</v>
      </c>
      <c r="AH86" s="94">
        <v>2025</v>
      </c>
    </row>
    <row r="87" spans="1:69" ht="109.9" customHeight="1" x14ac:dyDescent="0.35">
      <c r="A87" s="94">
        <v>70</v>
      </c>
      <c r="B87" s="95" t="s">
        <v>25</v>
      </c>
      <c r="C87" s="94" t="s">
        <v>168</v>
      </c>
      <c r="D87" s="94">
        <v>1966</v>
      </c>
      <c r="E87" s="94">
        <v>5</v>
      </c>
      <c r="F87" s="109">
        <v>6253.8</v>
      </c>
      <c r="G87" s="109">
        <v>5873.3</v>
      </c>
      <c r="H87" s="109" t="s">
        <v>49</v>
      </c>
      <c r="I87" s="94" t="s">
        <v>50</v>
      </c>
      <c r="J87" s="94" t="s">
        <v>27</v>
      </c>
      <c r="K87" s="94" t="s">
        <v>28</v>
      </c>
      <c r="L87" s="19"/>
      <c r="M87" s="102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02">
        <f t="shared" si="74"/>
        <v>20178250.75</v>
      </c>
      <c r="Z87" s="19"/>
      <c r="AA87" s="102">
        <v>854008.8</v>
      </c>
      <c r="AB87" s="102">
        <f>ROUND((M87+V87+W87+X87+Y87+Z87)*0.015,2)</f>
        <v>302673.76</v>
      </c>
      <c r="AC87" s="102">
        <f>SUM(N87:AB87)</f>
        <v>21334933.310000002</v>
      </c>
      <c r="AD87" s="19"/>
      <c r="AE87" s="19"/>
      <c r="AF87" s="102">
        <f>AC87-(AD87+AE87)</f>
        <v>21334933.310000002</v>
      </c>
      <c r="AG87" s="94">
        <v>2025</v>
      </c>
      <c r="AH87" s="94">
        <v>2025</v>
      </c>
    </row>
    <row r="88" spans="1:69" ht="109.9" customHeight="1" x14ac:dyDescent="0.35">
      <c r="A88" s="94">
        <v>71</v>
      </c>
      <c r="B88" s="95" t="s">
        <v>25</v>
      </c>
      <c r="C88" s="94" t="s">
        <v>190</v>
      </c>
      <c r="D88" s="94">
        <v>1959</v>
      </c>
      <c r="E88" s="94">
        <v>4</v>
      </c>
      <c r="F88" s="109">
        <v>1436.7</v>
      </c>
      <c r="G88" s="109">
        <v>1320.7</v>
      </c>
      <c r="H88" s="109">
        <v>985.3</v>
      </c>
      <c r="I88" s="94">
        <v>21</v>
      </c>
      <c r="J88" s="94" t="s">
        <v>27</v>
      </c>
      <c r="K88" s="94" t="s">
        <v>28</v>
      </c>
      <c r="L88" s="19"/>
      <c r="M88" s="102"/>
      <c r="N88" s="19"/>
      <c r="O88" s="19"/>
      <c r="P88" s="19"/>
      <c r="Q88" s="19"/>
      <c r="R88" s="19"/>
      <c r="S88" s="19"/>
      <c r="T88" s="19"/>
      <c r="U88" s="19"/>
      <c r="V88" s="19"/>
      <c r="W88" s="102">
        <f>ROUND(G88*5975.33,2)</f>
        <v>7891618.3300000001</v>
      </c>
      <c r="X88" s="19"/>
      <c r="Y88" s="19"/>
      <c r="Z88" s="19"/>
      <c r="AA88" s="102">
        <v>732859.2</v>
      </c>
      <c r="AB88" s="102">
        <f>ROUND((M88+V88+W88+X88+Y88+Z88)*0.015,2)</f>
        <v>118374.27</v>
      </c>
      <c r="AC88" s="102">
        <f>SUM(N88:AB88)</f>
        <v>8742851.7999999989</v>
      </c>
      <c r="AD88" s="19"/>
      <c r="AE88" s="19"/>
      <c r="AF88" s="102">
        <f>AC88-(AD88+AE88)</f>
        <v>8742851.7999999989</v>
      </c>
      <c r="AG88" s="94">
        <v>2025</v>
      </c>
      <c r="AH88" s="94">
        <v>2025</v>
      </c>
    </row>
    <row r="89" spans="1:69" ht="109.9" customHeight="1" x14ac:dyDescent="0.35">
      <c r="A89" s="94">
        <v>72</v>
      </c>
      <c r="B89" s="95" t="s">
        <v>25</v>
      </c>
      <c r="C89" s="94" t="s">
        <v>189</v>
      </c>
      <c r="D89" s="94">
        <v>1973</v>
      </c>
      <c r="E89" s="94">
        <v>5</v>
      </c>
      <c r="F89" s="109">
        <v>4163.2</v>
      </c>
      <c r="G89" s="109">
        <v>3839.4</v>
      </c>
      <c r="H89" s="109" t="s">
        <v>42</v>
      </c>
      <c r="I89" s="94">
        <v>163</v>
      </c>
      <c r="J89" s="94" t="s">
        <v>39</v>
      </c>
      <c r="K89" s="94" t="s">
        <v>28</v>
      </c>
      <c r="L89" s="19"/>
      <c r="M89" s="102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02">
        <f>ROUND(G89*706.71,2)</f>
        <v>2713342.37</v>
      </c>
      <c r="Y89" s="102">
        <f>ROUND(G89*3435.59,2)</f>
        <v>13190604.25</v>
      </c>
      <c r="Z89" s="102">
        <f>ROUND(G89*1135.41,2)</f>
        <v>4359293.1500000004</v>
      </c>
      <c r="AA89" s="102">
        <v>1471219.2</v>
      </c>
      <c r="AB89" s="102">
        <f t="shared" si="66"/>
        <v>303948.59999999998</v>
      </c>
      <c r="AC89" s="102">
        <f t="shared" si="67"/>
        <v>22038407.570000004</v>
      </c>
      <c r="AD89" s="19"/>
      <c r="AE89" s="19"/>
      <c r="AF89" s="102">
        <f t="shared" si="68"/>
        <v>22038407.570000004</v>
      </c>
      <c r="AG89" s="94">
        <v>2025</v>
      </c>
      <c r="AH89" s="94">
        <v>2025</v>
      </c>
      <c r="AI89" s="182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2"/>
      <c r="BF89" s="12"/>
      <c r="BG89" s="12"/>
      <c r="BH89" s="12"/>
      <c r="BI89" s="12"/>
      <c r="BJ89" s="84"/>
      <c r="BK89" s="77"/>
      <c r="BL89" s="77"/>
      <c r="BM89" s="77"/>
      <c r="BN89" s="77"/>
      <c r="BO89" s="107"/>
      <c r="BP89" s="107"/>
      <c r="BQ89" s="107"/>
    </row>
    <row r="90" spans="1:69" ht="109.9" customHeight="1" x14ac:dyDescent="0.35">
      <c r="A90" s="94">
        <v>73</v>
      </c>
      <c r="B90" s="95" t="s">
        <v>25</v>
      </c>
      <c r="C90" s="94" t="s">
        <v>188</v>
      </c>
      <c r="D90" s="94">
        <v>1975</v>
      </c>
      <c r="E90" s="94">
        <v>5</v>
      </c>
      <c r="F90" s="109">
        <v>5577.6</v>
      </c>
      <c r="G90" s="109">
        <v>5178.1000000000004</v>
      </c>
      <c r="H90" s="109" t="s">
        <v>43</v>
      </c>
      <c r="I90" s="94">
        <v>209</v>
      </c>
      <c r="J90" s="94" t="s">
        <v>27</v>
      </c>
      <c r="K90" s="94" t="s">
        <v>28</v>
      </c>
      <c r="L90" s="19"/>
      <c r="M90" s="102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02">
        <f>ROUND(G90*706.71,2)</f>
        <v>3659415.05</v>
      </c>
      <c r="Y90" s="102">
        <f>ROUND(G90*3435.59,2)</f>
        <v>17789828.579999998</v>
      </c>
      <c r="Z90" s="102">
        <f>ROUND(G90*1135.41,2)</f>
        <v>5879266.5199999996</v>
      </c>
      <c r="AA90" s="102">
        <v>1626180</v>
      </c>
      <c r="AB90" s="102">
        <f t="shared" si="66"/>
        <v>409927.65</v>
      </c>
      <c r="AC90" s="102">
        <f t="shared" si="67"/>
        <v>29364617.799999997</v>
      </c>
      <c r="AD90" s="19"/>
      <c r="AE90" s="19"/>
      <c r="AF90" s="102">
        <f t="shared" si="68"/>
        <v>29364617.799999997</v>
      </c>
      <c r="AG90" s="94">
        <v>2025</v>
      </c>
      <c r="AH90" s="94">
        <v>2025</v>
      </c>
      <c r="AI90" s="182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84"/>
      <c r="BK90" s="77"/>
      <c r="BL90" s="77"/>
      <c r="BM90" s="77"/>
      <c r="BN90" s="77"/>
      <c r="BO90" s="107"/>
      <c r="BP90" s="107"/>
      <c r="BQ90" s="107"/>
    </row>
    <row r="91" spans="1:69" ht="109.9" customHeight="1" x14ac:dyDescent="0.35">
      <c r="A91" s="94">
        <v>74</v>
      </c>
      <c r="B91" s="95" t="s">
        <v>25</v>
      </c>
      <c r="C91" s="94" t="s">
        <v>187</v>
      </c>
      <c r="D91" s="94">
        <v>1971</v>
      </c>
      <c r="E91" s="94">
        <v>5</v>
      </c>
      <c r="F91" s="109">
        <v>5133.5</v>
      </c>
      <c r="G91" s="109">
        <v>4721.8</v>
      </c>
      <c r="H91" s="109">
        <v>3044.1</v>
      </c>
      <c r="I91" s="94">
        <v>188</v>
      </c>
      <c r="J91" s="94" t="s">
        <v>27</v>
      </c>
      <c r="K91" s="94" t="s">
        <v>28</v>
      </c>
      <c r="L91" s="19"/>
      <c r="M91" s="102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02">
        <f>ROUND(G91*3435.59,2)</f>
        <v>16222168.859999999</v>
      </c>
      <c r="Z91" s="19"/>
      <c r="AA91" s="102">
        <v>1018082.4</v>
      </c>
      <c r="AB91" s="102">
        <f t="shared" si="66"/>
        <v>243332.53</v>
      </c>
      <c r="AC91" s="102">
        <f t="shared" si="67"/>
        <v>17483583.789999999</v>
      </c>
      <c r="AD91" s="19"/>
      <c r="AE91" s="19"/>
      <c r="AF91" s="102">
        <f t="shared" si="68"/>
        <v>17483583.789999999</v>
      </c>
      <c r="AG91" s="94">
        <v>2025</v>
      </c>
      <c r="AH91" s="94">
        <v>2025</v>
      </c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2"/>
      <c r="BD91" s="12"/>
      <c r="BE91" s="12"/>
      <c r="BF91" s="12"/>
      <c r="BG91" s="12"/>
      <c r="BH91" s="12"/>
      <c r="BI91" s="12"/>
      <c r="BJ91" s="84"/>
      <c r="BK91" s="77"/>
      <c r="BL91" s="77"/>
      <c r="BM91" s="77"/>
      <c r="BN91" s="77"/>
      <c r="BO91" s="13"/>
      <c r="BP91" s="13"/>
      <c r="BQ91" s="13"/>
    </row>
    <row r="92" spans="1:69" ht="109.9" customHeight="1" x14ac:dyDescent="0.35">
      <c r="A92" s="94">
        <v>75</v>
      </c>
      <c r="B92" s="95" t="s">
        <v>25</v>
      </c>
      <c r="C92" s="94" t="s">
        <v>186</v>
      </c>
      <c r="D92" s="94">
        <v>1960</v>
      </c>
      <c r="E92" s="94">
        <v>4</v>
      </c>
      <c r="F92" s="109">
        <v>1422.6</v>
      </c>
      <c r="G92" s="109">
        <v>1308.7</v>
      </c>
      <c r="H92" s="109">
        <v>672.6</v>
      </c>
      <c r="I92" s="94" t="s">
        <v>26</v>
      </c>
      <c r="J92" s="94" t="s">
        <v>27</v>
      </c>
      <c r="K92" s="94" t="s">
        <v>28</v>
      </c>
      <c r="L92" s="19"/>
      <c r="M92" s="102"/>
      <c r="N92" s="19"/>
      <c r="O92" s="19"/>
      <c r="P92" s="19"/>
      <c r="Q92" s="19"/>
      <c r="R92" s="19"/>
      <c r="S92" s="19"/>
      <c r="T92" s="19"/>
      <c r="U92" s="19"/>
      <c r="V92" s="19"/>
      <c r="W92" s="102">
        <f>ROUND(G92*5975.33,2)</f>
        <v>7819914.3700000001</v>
      </c>
      <c r="X92" s="19"/>
      <c r="Y92" s="19"/>
      <c r="Z92" s="19"/>
      <c r="AA92" s="102">
        <v>734811.6</v>
      </c>
      <c r="AB92" s="102">
        <f>ROUND((M92+V92+W92+X92+Y92+Z92)*0.015,2)</f>
        <v>117298.72</v>
      </c>
      <c r="AC92" s="102">
        <f>SUM(N92:AB92)</f>
        <v>8672024.6900000013</v>
      </c>
      <c r="AD92" s="19"/>
      <c r="AE92" s="19"/>
      <c r="AF92" s="102">
        <f>AC92-(AD92+AE92)</f>
        <v>8672024.6900000013</v>
      </c>
      <c r="AG92" s="94">
        <v>2025</v>
      </c>
      <c r="AH92" s="94">
        <v>2025</v>
      </c>
    </row>
    <row r="93" spans="1:69" ht="109.9" customHeight="1" x14ac:dyDescent="0.35">
      <c r="A93" s="94">
        <v>76</v>
      </c>
      <c r="B93" s="95" t="s">
        <v>25</v>
      </c>
      <c r="C93" s="94" t="s">
        <v>169</v>
      </c>
      <c r="D93" s="94">
        <v>1955</v>
      </c>
      <c r="E93" s="94">
        <v>4</v>
      </c>
      <c r="F93" s="109">
        <v>1560.5</v>
      </c>
      <c r="G93" s="109">
        <v>1247.0999999999999</v>
      </c>
      <c r="H93" s="109">
        <v>829.4</v>
      </c>
      <c r="I93" s="94">
        <v>66</v>
      </c>
      <c r="J93" s="94" t="s">
        <v>29</v>
      </c>
      <c r="K93" s="94" t="s">
        <v>28</v>
      </c>
      <c r="L93" s="19"/>
      <c r="M93" s="102">
        <f>SUM(N93:U93)</f>
        <v>8910878.6999999993</v>
      </c>
      <c r="N93" s="102">
        <f>ROUND(G93*616.25,2)</f>
        <v>768525.38</v>
      </c>
      <c r="O93" s="102">
        <f>ROUND(G93*4857.9,2)</f>
        <v>6058287.0899999999</v>
      </c>
      <c r="P93" s="102"/>
      <c r="Q93" s="102">
        <v>743745.5</v>
      </c>
      <c r="R93" s="102"/>
      <c r="S93" s="102"/>
      <c r="T93" s="102">
        <f t="shared" ref="T93" si="75">ROUND(G93*1074.75,2)</f>
        <v>1340320.73</v>
      </c>
      <c r="U93" s="19"/>
      <c r="V93" s="19"/>
      <c r="W93" s="19"/>
      <c r="X93" s="19"/>
      <c r="Y93" s="19"/>
      <c r="Z93" s="19"/>
      <c r="AA93" s="102">
        <v>613752</v>
      </c>
      <c r="AB93" s="102">
        <f>ROUND((M93+V93+W93+X93+Y93+Z93)*0.015,2)</f>
        <v>133663.18</v>
      </c>
      <c r="AC93" s="102">
        <f>SUM(N93:AB93)</f>
        <v>9658293.879999999</v>
      </c>
      <c r="AD93" s="19"/>
      <c r="AE93" s="19"/>
      <c r="AF93" s="102">
        <f>AC93-(AD93+AE93)</f>
        <v>9658293.879999999</v>
      </c>
      <c r="AG93" s="94">
        <v>2025</v>
      </c>
      <c r="AH93" s="94">
        <v>2025</v>
      </c>
    </row>
    <row r="94" spans="1:69" ht="109.9" customHeight="1" x14ac:dyDescent="0.35">
      <c r="A94" s="94">
        <v>77</v>
      </c>
      <c r="B94" s="95" t="s">
        <v>25</v>
      </c>
      <c r="C94" s="94" t="s">
        <v>170</v>
      </c>
      <c r="D94" s="94">
        <v>1958</v>
      </c>
      <c r="E94" s="94">
        <v>5</v>
      </c>
      <c r="F94" s="109">
        <v>5120.1000000000004</v>
      </c>
      <c r="G94" s="109">
        <v>5120.1000000000004</v>
      </c>
      <c r="H94" s="109">
        <v>4791</v>
      </c>
      <c r="I94" s="94">
        <v>217</v>
      </c>
      <c r="J94" s="94" t="s">
        <v>27</v>
      </c>
      <c r="K94" s="94" t="s">
        <v>28</v>
      </c>
      <c r="L94" s="19"/>
      <c r="M94" s="102"/>
      <c r="N94" s="102"/>
      <c r="O94" s="19"/>
      <c r="P94" s="19"/>
      <c r="Q94" s="19"/>
      <c r="R94" s="19"/>
      <c r="S94" s="19"/>
      <c r="T94" s="19"/>
      <c r="U94" s="19"/>
      <c r="V94" s="19"/>
      <c r="W94" s="102">
        <f>ROUND(G94*3855.19,2)</f>
        <v>19738958.32</v>
      </c>
      <c r="X94" s="19"/>
      <c r="Y94" s="19"/>
      <c r="Z94" s="19"/>
      <c r="AA94" s="102">
        <v>1346138.4</v>
      </c>
      <c r="AB94" s="102">
        <f>ROUND((M94+V94+W94+X94+Y94+Z94)*0.015,2)</f>
        <v>296084.37</v>
      </c>
      <c r="AC94" s="102">
        <f>SUM(N94:AB94)</f>
        <v>21381181.09</v>
      </c>
      <c r="AD94" s="19"/>
      <c r="AE94" s="19"/>
      <c r="AF94" s="102">
        <f>AC94-(AD94+AE94)</f>
        <v>21381181.09</v>
      </c>
      <c r="AG94" s="94">
        <v>2025</v>
      </c>
      <c r="AH94" s="94">
        <v>2025</v>
      </c>
    </row>
    <row r="95" spans="1:69" ht="109.9" customHeight="1" x14ac:dyDescent="0.35">
      <c r="A95" s="94">
        <v>78</v>
      </c>
      <c r="B95" s="95" t="s">
        <v>25</v>
      </c>
      <c r="C95" s="94" t="s">
        <v>171</v>
      </c>
      <c r="D95" s="94">
        <v>1953</v>
      </c>
      <c r="E95" s="94">
        <v>4</v>
      </c>
      <c r="F95" s="109">
        <v>1615.1</v>
      </c>
      <c r="G95" s="109">
        <v>1235.5999999999999</v>
      </c>
      <c r="H95" s="109">
        <v>1023.6</v>
      </c>
      <c r="I95" s="94">
        <v>92</v>
      </c>
      <c r="J95" s="94" t="s">
        <v>29</v>
      </c>
      <c r="K95" s="94" t="s">
        <v>28</v>
      </c>
      <c r="L95" s="19"/>
      <c r="M95" s="102">
        <f t="shared" si="72"/>
        <v>6763859.7400000002</v>
      </c>
      <c r="N95" s="102">
        <f>ROUND(G95*616.25,2)</f>
        <v>761438.5</v>
      </c>
      <c r="O95" s="102">
        <f>ROUND(G95*4857.9,2)</f>
        <v>6002421.2400000002</v>
      </c>
      <c r="P95" s="102"/>
      <c r="Q95" s="19"/>
      <c r="R95" s="19"/>
      <c r="S95" s="19"/>
      <c r="T95" s="19"/>
      <c r="U95" s="19"/>
      <c r="V95" s="19"/>
      <c r="W95" s="19"/>
      <c r="X95" s="19"/>
      <c r="Y95" s="19">
        <v>4747508.8099999996</v>
      </c>
      <c r="Z95" s="19">
        <v>1402912.6</v>
      </c>
      <c r="AA95" s="102">
        <f>614088+850110</f>
        <v>1464198</v>
      </c>
      <c r="AB95" s="102">
        <f t="shared" si="66"/>
        <v>193714.22</v>
      </c>
      <c r="AC95" s="102">
        <f t="shared" si="67"/>
        <v>14572193.370000001</v>
      </c>
      <c r="AD95" s="19"/>
      <c r="AE95" s="19"/>
      <c r="AF95" s="102">
        <f t="shared" si="68"/>
        <v>14572193.370000001</v>
      </c>
      <c r="AG95" s="94">
        <v>2025</v>
      </c>
      <c r="AH95" s="94">
        <v>2025</v>
      </c>
      <c r="AI95" s="183"/>
      <c r="AJ95" s="139"/>
      <c r="AK95" s="139"/>
      <c r="AL95" s="139"/>
      <c r="AM95" s="139"/>
      <c r="AN95" s="139"/>
      <c r="AO95" s="139"/>
      <c r="AP95" s="139"/>
      <c r="AQ95" s="139"/>
      <c r="AR95" s="139"/>
      <c r="AS95" s="82"/>
      <c r="AT95" s="83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84"/>
      <c r="BK95" s="77"/>
      <c r="BL95" s="77"/>
      <c r="BM95" s="77"/>
      <c r="BN95" s="77"/>
      <c r="BO95" s="13"/>
      <c r="BP95" s="13"/>
      <c r="BQ95" s="13"/>
    </row>
    <row r="96" spans="1:69" ht="109.9" customHeight="1" x14ac:dyDescent="0.35">
      <c r="A96" s="94">
        <v>79</v>
      </c>
      <c r="B96" s="95" t="s">
        <v>25</v>
      </c>
      <c r="C96" s="94" t="s">
        <v>172</v>
      </c>
      <c r="D96" s="94">
        <v>1952</v>
      </c>
      <c r="E96" s="94">
        <v>4</v>
      </c>
      <c r="F96" s="109">
        <v>2206.6999999999998</v>
      </c>
      <c r="G96" s="109">
        <v>1990.8</v>
      </c>
      <c r="H96" s="109" t="s">
        <v>44</v>
      </c>
      <c r="I96" s="94">
        <v>68</v>
      </c>
      <c r="J96" s="94" t="s">
        <v>27</v>
      </c>
      <c r="K96" s="94" t="s">
        <v>28</v>
      </c>
      <c r="L96" s="19"/>
      <c r="M96" s="102">
        <f t="shared" si="72"/>
        <v>15399156.52</v>
      </c>
      <c r="N96" s="102">
        <f>ROUND(G96*616.25,2)</f>
        <v>1226830.5</v>
      </c>
      <c r="O96" s="102">
        <f>ROUND(G96*4857.9,2)</f>
        <v>9671107.3200000003</v>
      </c>
      <c r="P96" s="102"/>
      <c r="Q96" s="102">
        <f>ROUND(G96*596.38,2)</f>
        <v>1187273.3</v>
      </c>
      <c r="R96" s="102">
        <f>ROUND(G96*589.88,2)</f>
        <v>1174333.1000000001</v>
      </c>
      <c r="S96" s="102"/>
      <c r="T96" s="102">
        <f>ROUND(G96*1074.75,2)</f>
        <v>2139612.2999999998</v>
      </c>
      <c r="U96" s="19"/>
      <c r="V96" s="19"/>
      <c r="W96" s="19"/>
      <c r="X96" s="19"/>
      <c r="Y96" s="19"/>
      <c r="Z96" s="19"/>
      <c r="AA96" s="102">
        <v>944169.6</v>
      </c>
      <c r="AB96" s="102">
        <f t="shared" si="66"/>
        <v>230987.35</v>
      </c>
      <c r="AC96" s="102">
        <f t="shared" si="67"/>
        <v>16574313.469999999</v>
      </c>
      <c r="AD96" s="19"/>
      <c r="AE96" s="19"/>
      <c r="AF96" s="102">
        <f t="shared" si="68"/>
        <v>16574313.469999999</v>
      </c>
      <c r="AG96" s="94">
        <v>2025</v>
      </c>
      <c r="AH96" s="94">
        <v>2025</v>
      </c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85"/>
      <c r="BK96" s="77"/>
      <c r="BL96" s="77"/>
      <c r="BM96" s="77"/>
      <c r="BN96" s="77"/>
      <c r="BO96" s="13"/>
      <c r="BP96" s="13"/>
      <c r="BQ96" s="13"/>
    </row>
    <row r="97" spans="1:69" ht="109.9" customHeight="1" x14ac:dyDescent="0.35">
      <c r="A97" s="94">
        <v>80</v>
      </c>
      <c r="B97" s="95" t="s">
        <v>206</v>
      </c>
      <c r="C97" s="94" t="s">
        <v>173</v>
      </c>
      <c r="D97" s="94">
        <v>1957</v>
      </c>
      <c r="E97" s="94">
        <v>4</v>
      </c>
      <c r="F97" s="109">
        <v>5401.2</v>
      </c>
      <c r="G97" s="109">
        <v>5007.3999999999996</v>
      </c>
      <c r="H97" s="109">
        <v>3075.4</v>
      </c>
      <c r="I97" s="94">
        <v>101</v>
      </c>
      <c r="J97" s="94" t="s">
        <v>27</v>
      </c>
      <c r="K97" s="94" t="s">
        <v>28</v>
      </c>
      <c r="L97" s="19"/>
      <c r="M97" s="102"/>
      <c r="N97" s="102"/>
      <c r="O97" s="102"/>
      <c r="P97" s="102"/>
      <c r="Q97" s="102"/>
      <c r="R97" s="102"/>
      <c r="S97" s="102"/>
      <c r="T97" s="102"/>
      <c r="U97" s="19"/>
      <c r="V97" s="19"/>
      <c r="W97" s="19"/>
      <c r="X97" s="19"/>
      <c r="Y97" s="102">
        <f>ROUND(G97*3435.59,2)</f>
        <v>17203373.370000001</v>
      </c>
      <c r="Z97" s="102">
        <f>ROUND(G97*1135.41,2)</f>
        <v>5685452.0300000003</v>
      </c>
      <c r="AA97" s="102">
        <v>1422879.6</v>
      </c>
      <c r="AB97" s="102">
        <f>ROUND((M97+V97+W97+X97+Y97+Z97)*0.015,2)</f>
        <v>343332.38</v>
      </c>
      <c r="AC97" s="102">
        <f>SUM(N97:AB97)</f>
        <v>24655037.380000003</v>
      </c>
      <c r="AD97" s="19"/>
      <c r="AE97" s="19"/>
      <c r="AF97" s="102">
        <f>AC97-(AD97+AE97)</f>
        <v>24655037.380000003</v>
      </c>
      <c r="AG97" s="94">
        <v>2025</v>
      </c>
      <c r="AH97" s="94">
        <v>2025</v>
      </c>
    </row>
    <row r="98" spans="1:69" ht="109.9" customHeight="1" x14ac:dyDescent="0.35">
      <c r="A98" s="94">
        <v>81</v>
      </c>
      <c r="B98" s="95" t="s">
        <v>206</v>
      </c>
      <c r="C98" s="94" t="s">
        <v>174</v>
      </c>
      <c r="D98" s="94">
        <v>1959</v>
      </c>
      <c r="E98" s="94">
        <v>4</v>
      </c>
      <c r="F98" s="109">
        <v>3011.8</v>
      </c>
      <c r="G98" s="109">
        <v>2749.1</v>
      </c>
      <c r="H98" s="109">
        <v>2749.1</v>
      </c>
      <c r="I98" s="94">
        <v>118</v>
      </c>
      <c r="J98" s="94" t="s">
        <v>27</v>
      </c>
      <c r="K98" s="94" t="s">
        <v>28</v>
      </c>
      <c r="L98" s="19"/>
      <c r="M98" s="102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02">
        <f>ROUND(G98*3170.13,2)</f>
        <v>8715004.3800000008</v>
      </c>
      <c r="Z98" s="102">
        <f>ROUND(G98*1135.41,2)</f>
        <v>3121355.63</v>
      </c>
      <c r="AA98" s="102">
        <v>1024922.4</v>
      </c>
      <c r="AB98" s="102">
        <f>ROUND((M98+V98+W98+X98+Y98+Z98)*0.015,2)</f>
        <v>177545.4</v>
      </c>
      <c r="AC98" s="102">
        <f>SUM(N98:AB98)</f>
        <v>13038827.810000002</v>
      </c>
      <c r="AD98" s="19"/>
      <c r="AE98" s="19"/>
      <c r="AF98" s="102">
        <f>AC98-(AD98+AE98)</f>
        <v>13038827.810000002</v>
      </c>
      <c r="AG98" s="94">
        <v>2025</v>
      </c>
      <c r="AH98" s="94">
        <v>2025</v>
      </c>
    </row>
    <row r="99" spans="1:69" ht="109.9" customHeight="1" x14ac:dyDescent="0.35">
      <c r="A99" s="94">
        <v>82</v>
      </c>
      <c r="B99" s="95" t="s">
        <v>25</v>
      </c>
      <c r="C99" s="94" t="s">
        <v>175</v>
      </c>
      <c r="D99" s="94">
        <v>1952</v>
      </c>
      <c r="E99" s="94">
        <v>4</v>
      </c>
      <c r="F99" s="109">
        <v>1812.7</v>
      </c>
      <c r="G99" s="109">
        <v>1812.7</v>
      </c>
      <c r="H99" s="109" t="s">
        <v>26</v>
      </c>
      <c r="I99" s="94" t="s">
        <v>26</v>
      </c>
      <c r="J99" s="94" t="s">
        <v>27</v>
      </c>
      <c r="K99" s="94" t="s">
        <v>28</v>
      </c>
      <c r="L99" s="19"/>
      <c r="M99" s="102">
        <f t="shared" si="72"/>
        <v>14021524.550000001</v>
      </c>
      <c r="N99" s="102">
        <f>ROUND(G99*616.25,2)</f>
        <v>1117076.3799999999</v>
      </c>
      <c r="O99" s="102">
        <f>ROUND(G99*4857.9,2)</f>
        <v>8805915.3300000001</v>
      </c>
      <c r="P99" s="102"/>
      <c r="Q99" s="102">
        <f>ROUND(G99*596.38,2)</f>
        <v>1081058.03</v>
      </c>
      <c r="R99" s="102">
        <f>ROUND(G99*589.88,2)</f>
        <v>1069275.48</v>
      </c>
      <c r="S99" s="102"/>
      <c r="T99" s="102">
        <f>ROUND(G99*1074.75,2)</f>
        <v>1948199.33</v>
      </c>
      <c r="U99" s="102"/>
      <c r="V99" s="19"/>
      <c r="W99" s="19"/>
      <c r="X99" s="19"/>
      <c r="Y99" s="19"/>
      <c r="Z99" s="19"/>
      <c r="AA99" s="102">
        <v>817208.4</v>
      </c>
      <c r="AB99" s="102">
        <f t="shared" si="66"/>
        <v>210322.87</v>
      </c>
      <c r="AC99" s="102">
        <f t="shared" si="67"/>
        <v>15049055.82</v>
      </c>
      <c r="AD99" s="19"/>
      <c r="AE99" s="19"/>
      <c r="AF99" s="102">
        <f t="shared" si="68"/>
        <v>15049055.82</v>
      </c>
      <c r="AG99" s="94">
        <v>2025</v>
      </c>
      <c r="AH99" s="94">
        <v>2025</v>
      </c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85"/>
      <c r="BK99" s="77"/>
      <c r="BL99" s="77"/>
      <c r="BM99" s="77"/>
      <c r="BN99" s="77"/>
      <c r="BO99" s="13"/>
      <c r="BP99" s="13"/>
      <c r="BQ99" s="13"/>
    </row>
    <row r="100" spans="1:69" ht="109.9" customHeight="1" x14ac:dyDescent="0.35">
      <c r="A100" s="94">
        <v>83</v>
      </c>
      <c r="B100" s="95" t="s">
        <v>25</v>
      </c>
      <c r="C100" s="94" t="s">
        <v>176</v>
      </c>
      <c r="D100" s="94">
        <v>1960</v>
      </c>
      <c r="E100" s="94">
        <v>5</v>
      </c>
      <c r="F100" s="109">
        <v>4660.2</v>
      </c>
      <c r="G100" s="109">
        <v>4660.2</v>
      </c>
      <c r="H100" s="109">
        <v>2604.4</v>
      </c>
      <c r="I100" s="94">
        <v>107</v>
      </c>
      <c r="J100" s="94" t="s">
        <v>27</v>
      </c>
      <c r="K100" s="94" t="s">
        <v>28</v>
      </c>
      <c r="L100" s="19"/>
      <c r="M100" s="102"/>
      <c r="N100" s="19"/>
      <c r="O100" s="19"/>
      <c r="P100" s="19"/>
      <c r="Q100" s="19"/>
      <c r="R100" s="19"/>
      <c r="S100" s="19"/>
      <c r="T100" s="19"/>
      <c r="U100" s="19"/>
      <c r="V100" s="19"/>
      <c r="W100" s="102">
        <f>ROUND(G100*3855.19,2)</f>
        <v>17965956.440000001</v>
      </c>
      <c r="X100" s="19"/>
      <c r="Y100" s="19"/>
      <c r="Z100" s="19"/>
      <c r="AA100" s="102">
        <v>1229403.6000000001</v>
      </c>
      <c r="AB100" s="102">
        <f>ROUND((M100+V100+W100+X100+Y100+Z100)*0.015,2)</f>
        <v>269489.34999999998</v>
      </c>
      <c r="AC100" s="102">
        <f>SUM(N100:AB100)</f>
        <v>19464849.390000004</v>
      </c>
      <c r="AD100" s="19"/>
      <c r="AE100" s="19"/>
      <c r="AF100" s="102">
        <f>AC100-(AD100+AE100)</f>
        <v>19464849.390000004</v>
      </c>
      <c r="AG100" s="94">
        <v>2025</v>
      </c>
      <c r="AH100" s="94">
        <v>2025</v>
      </c>
    </row>
    <row r="101" spans="1:69" ht="109.9" customHeight="1" x14ac:dyDescent="0.35">
      <c r="A101" s="94">
        <v>84</v>
      </c>
      <c r="B101" s="95" t="s">
        <v>25</v>
      </c>
      <c r="C101" s="94" t="s">
        <v>177</v>
      </c>
      <c r="D101" s="94">
        <v>1958</v>
      </c>
      <c r="E101" s="94">
        <v>4</v>
      </c>
      <c r="F101" s="109">
        <v>1754.6</v>
      </c>
      <c r="G101" s="109">
        <v>1754.6</v>
      </c>
      <c r="H101" s="109">
        <v>1299.8</v>
      </c>
      <c r="I101" s="94">
        <v>43</v>
      </c>
      <c r="J101" s="94" t="s">
        <v>27</v>
      </c>
      <c r="K101" s="94" t="s">
        <v>28</v>
      </c>
      <c r="L101" s="19"/>
      <c r="M101" s="102"/>
      <c r="N101" s="19"/>
      <c r="O101" s="19"/>
      <c r="P101" s="19"/>
      <c r="Q101" s="19"/>
      <c r="R101" s="19"/>
      <c r="S101" s="19"/>
      <c r="T101" s="19"/>
      <c r="U101" s="19"/>
      <c r="V101" s="19"/>
      <c r="W101" s="102">
        <f>ROUND(G101*5975.33,2)</f>
        <v>10484314.02</v>
      </c>
      <c r="X101" s="19"/>
      <c r="Y101" s="19"/>
      <c r="Z101" s="19"/>
      <c r="AA101" s="102">
        <v>806947.2</v>
      </c>
      <c r="AB101" s="102">
        <f t="shared" si="66"/>
        <v>157264.71</v>
      </c>
      <c r="AC101" s="102">
        <f t="shared" si="67"/>
        <v>11448525.93</v>
      </c>
      <c r="AD101" s="19"/>
      <c r="AE101" s="19"/>
      <c r="AF101" s="102">
        <f t="shared" si="68"/>
        <v>11448525.93</v>
      </c>
      <c r="AG101" s="94">
        <v>2025</v>
      </c>
      <c r="AH101" s="94">
        <v>2025</v>
      </c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82"/>
      <c r="AT101" s="83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84"/>
      <c r="BK101" s="77"/>
      <c r="BL101" s="77"/>
      <c r="BM101" s="77"/>
      <c r="BN101" s="77"/>
      <c r="BO101" s="13"/>
      <c r="BP101" s="13"/>
      <c r="BQ101" s="13"/>
    </row>
    <row r="102" spans="1:69" ht="109.9" customHeight="1" x14ac:dyDescent="0.35">
      <c r="A102" s="94">
        <v>85</v>
      </c>
      <c r="B102" s="95" t="s">
        <v>25</v>
      </c>
      <c r="C102" s="94" t="s">
        <v>178</v>
      </c>
      <c r="D102" s="94">
        <v>1958</v>
      </c>
      <c r="E102" s="94">
        <v>4</v>
      </c>
      <c r="F102" s="109">
        <v>1066.0999999999999</v>
      </c>
      <c r="G102" s="109">
        <v>980.3</v>
      </c>
      <c r="H102" s="109">
        <v>687.9</v>
      </c>
      <c r="I102" s="94">
        <v>22</v>
      </c>
      <c r="J102" s="94" t="s">
        <v>27</v>
      </c>
      <c r="K102" s="94" t="s">
        <v>181</v>
      </c>
      <c r="L102" s="19"/>
      <c r="M102" s="102"/>
      <c r="N102" s="19"/>
      <c r="O102" s="19"/>
      <c r="P102" s="19"/>
      <c r="Q102" s="19"/>
      <c r="R102" s="19"/>
      <c r="S102" s="19"/>
      <c r="T102" s="19"/>
      <c r="U102" s="19"/>
      <c r="V102" s="19"/>
      <c r="W102" s="102">
        <f>ROUND(G102*5222.75,2)</f>
        <v>5119861.83</v>
      </c>
      <c r="X102" s="19"/>
      <c r="Y102" s="19"/>
      <c r="Z102" s="19"/>
      <c r="AA102" s="102">
        <v>708261.6</v>
      </c>
      <c r="AB102" s="102">
        <f t="shared" si="66"/>
        <v>76797.929999999993</v>
      </c>
      <c r="AC102" s="102">
        <f t="shared" si="67"/>
        <v>5904921.3599999994</v>
      </c>
      <c r="AD102" s="19"/>
      <c r="AE102" s="19"/>
      <c r="AF102" s="102">
        <f t="shared" si="68"/>
        <v>5904921.3599999994</v>
      </c>
      <c r="AG102" s="94">
        <v>2025</v>
      </c>
      <c r="AH102" s="94">
        <v>2025</v>
      </c>
      <c r="AI102" s="183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0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85"/>
      <c r="BK102" s="77"/>
      <c r="BL102" s="77"/>
      <c r="BM102" s="77"/>
      <c r="BN102" s="77"/>
      <c r="BO102" s="13"/>
      <c r="BP102" s="13"/>
      <c r="BQ102" s="13"/>
    </row>
    <row r="103" spans="1:69" ht="109.9" customHeight="1" x14ac:dyDescent="0.35">
      <c r="A103" s="132" t="s">
        <v>179</v>
      </c>
      <c r="B103" s="133"/>
      <c r="C103" s="134"/>
      <c r="D103" s="99"/>
      <c r="E103" s="99"/>
      <c r="F103" s="110">
        <f>SUM(F67:F102)</f>
        <v>124656.20000000003</v>
      </c>
      <c r="G103" s="110">
        <f>SUM(G67:G102)</f>
        <v>113859.70000000003</v>
      </c>
      <c r="H103" s="110"/>
      <c r="I103" s="99"/>
      <c r="J103" s="99"/>
      <c r="K103" s="99"/>
      <c r="L103" s="99"/>
      <c r="M103" s="99">
        <f>SUM(M67:M102)</f>
        <v>138186641.5</v>
      </c>
      <c r="N103" s="99">
        <f>SUM(N67:N102)</f>
        <v>13750509.530000001</v>
      </c>
      <c r="O103" s="99">
        <f>SUM(O67:O102)</f>
        <v>86447108.86999999</v>
      </c>
      <c r="P103" s="20"/>
      <c r="Q103" s="99">
        <f>SUM(Q67:Q102)</f>
        <v>11120732.66</v>
      </c>
      <c r="R103" s="99">
        <f>SUM(R67:R102)</f>
        <v>10773510.73</v>
      </c>
      <c r="S103" s="20"/>
      <c r="T103" s="99">
        <f>SUM(T67:T102)</f>
        <v>15036055.869999999</v>
      </c>
      <c r="U103" s="99">
        <f>SUM(U67:U102)</f>
        <v>1058723.8400000001</v>
      </c>
      <c r="V103" s="20"/>
      <c r="W103" s="99">
        <f t="shared" ref="W103:AC103" si="76">SUM(W67:W102)</f>
        <v>167656072.71000004</v>
      </c>
      <c r="X103" s="99">
        <f t="shared" si="76"/>
        <v>19097395.490000002</v>
      </c>
      <c r="Y103" s="99">
        <f t="shared" si="76"/>
        <v>153935140.07999998</v>
      </c>
      <c r="Z103" s="99">
        <f t="shared" si="76"/>
        <v>30110846.110000003</v>
      </c>
      <c r="AA103" s="99">
        <f t="shared" si="76"/>
        <v>38767244.799999997</v>
      </c>
      <c r="AB103" s="99">
        <f t="shared" si="76"/>
        <v>7634791.4399999985</v>
      </c>
      <c r="AC103" s="20">
        <f t="shared" si="76"/>
        <v>555388132.12999988</v>
      </c>
      <c r="AD103" s="20"/>
      <c r="AE103" s="20"/>
      <c r="AF103" s="20">
        <f>AC103</f>
        <v>555388132.12999988</v>
      </c>
      <c r="AG103" s="99">
        <v>2025</v>
      </c>
      <c r="AH103" s="99">
        <v>2025</v>
      </c>
    </row>
    <row r="104" spans="1:69" s="16" customFormat="1" ht="109.9" customHeight="1" x14ac:dyDescent="0.35">
      <c r="A104" s="132" t="s">
        <v>180</v>
      </c>
      <c r="B104" s="133"/>
      <c r="C104" s="134"/>
      <c r="D104" s="21"/>
      <c r="E104" s="21"/>
      <c r="F104" s="49">
        <f>F103+F65+F43</f>
        <v>323147.7</v>
      </c>
      <c r="G104" s="49">
        <f>G103+G65+G43</f>
        <v>293401.40000000002</v>
      </c>
      <c r="H104" s="49"/>
      <c r="I104" s="21"/>
      <c r="J104" s="21"/>
      <c r="K104" s="21"/>
      <c r="L104" s="21"/>
      <c r="M104" s="22">
        <f>M103+M65+M43</f>
        <v>638658020.85000002</v>
      </c>
      <c r="N104" s="22">
        <f>N103+N65+N43</f>
        <v>71502501.590000004</v>
      </c>
      <c r="O104" s="22">
        <f>O103+O65+O43</f>
        <v>352320618.06000006</v>
      </c>
      <c r="P104" s="22"/>
      <c r="Q104" s="22">
        <f>Q103+Q65+Q43</f>
        <v>62741285.949999996</v>
      </c>
      <c r="R104" s="22">
        <f>R103+R65+R43</f>
        <v>59404329.530000001</v>
      </c>
      <c r="S104" s="22">
        <f>S103+S65+S43</f>
        <v>2394897.56</v>
      </c>
      <c r="T104" s="22">
        <f>T103+T65+T43</f>
        <v>84348081.400000006</v>
      </c>
      <c r="U104" s="22">
        <f>U103+U65+U43</f>
        <v>5946306.7599999998</v>
      </c>
      <c r="V104" s="22"/>
      <c r="W104" s="22">
        <f t="shared" ref="W104:AC104" si="77">W103+W65+W43</f>
        <v>328260540.16000003</v>
      </c>
      <c r="X104" s="22">
        <f t="shared" si="77"/>
        <v>83061819.320000008</v>
      </c>
      <c r="Y104" s="22">
        <f t="shared" si="77"/>
        <v>254691560.03999999</v>
      </c>
      <c r="Z104" s="22">
        <f t="shared" si="77"/>
        <v>95653183.150000006</v>
      </c>
      <c r="AA104" s="22">
        <f t="shared" si="77"/>
        <v>104096010.99999999</v>
      </c>
      <c r="AB104" s="22">
        <f t="shared" si="77"/>
        <v>21004876.830000002</v>
      </c>
      <c r="AC104" s="22">
        <f t="shared" si="77"/>
        <v>1525426011.3499999</v>
      </c>
      <c r="AD104" s="22"/>
      <c r="AE104" s="22"/>
      <c r="AF104" s="22">
        <f>AF103+AF65+AF43</f>
        <v>1525426011.3499999</v>
      </c>
      <c r="AG104" s="21"/>
      <c r="AH104" s="21"/>
    </row>
    <row r="105" spans="1:69" s="16" customFormat="1" ht="175.5" customHeight="1" x14ac:dyDescent="0.35">
      <c r="A105" s="108"/>
      <c r="B105" s="111"/>
      <c r="C105" s="111"/>
      <c r="D105" s="25"/>
      <c r="E105" s="25"/>
      <c r="F105" s="28"/>
      <c r="G105" s="28"/>
      <c r="H105" s="28"/>
      <c r="I105" s="25"/>
      <c r="J105" s="25"/>
      <c r="K105" s="25"/>
      <c r="L105" s="25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7"/>
      <c r="AE105" s="23"/>
      <c r="AF105" s="23"/>
      <c r="AG105" s="24"/>
      <c r="AH105" s="24"/>
    </row>
    <row r="106" spans="1:69" s="16" customFormat="1" ht="109.9" customHeight="1" x14ac:dyDescent="0.35">
      <c r="A106" s="142" t="s">
        <v>207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4"/>
      <c r="AE106" s="17"/>
      <c r="AF106" s="17"/>
      <c r="AG106" s="18"/>
      <c r="AH106" s="18"/>
    </row>
    <row r="107" spans="1:69" ht="109.9" customHeight="1" x14ac:dyDescent="0.35">
      <c r="A107" s="151" t="s">
        <v>208</v>
      </c>
      <c r="B107" s="152"/>
      <c r="C107" s="153"/>
      <c r="D107" s="151" t="s">
        <v>209</v>
      </c>
      <c r="E107" s="152"/>
      <c r="F107" s="152"/>
      <c r="G107" s="152"/>
      <c r="H107" s="152"/>
      <c r="I107" s="152"/>
      <c r="J107" s="152"/>
      <c r="K107" s="152"/>
      <c r="L107" s="153"/>
      <c r="M107" s="160" t="s">
        <v>51</v>
      </c>
      <c r="N107" s="160"/>
      <c r="O107" s="160"/>
      <c r="P107" s="160"/>
      <c r="Q107" s="160"/>
      <c r="R107" s="160"/>
      <c r="S107" s="160"/>
      <c r="T107" s="160"/>
      <c r="U107" s="160"/>
      <c r="V107" s="162" t="s">
        <v>52</v>
      </c>
      <c r="W107" s="162" t="s">
        <v>95</v>
      </c>
      <c r="X107" s="162" t="s">
        <v>96</v>
      </c>
      <c r="Y107" s="162" t="s">
        <v>92</v>
      </c>
      <c r="Z107" s="162" t="s">
        <v>53</v>
      </c>
      <c r="AA107" s="162" t="s">
        <v>54</v>
      </c>
      <c r="AB107" s="163" t="s">
        <v>97</v>
      </c>
      <c r="AC107" s="162" t="s">
        <v>23</v>
      </c>
      <c r="AD107" s="165" t="s">
        <v>55</v>
      </c>
      <c r="AE107" s="2"/>
      <c r="AF107" s="146"/>
      <c r="AG107" s="103"/>
      <c r="AH107" s="146"/>
      <c r="AI107" s="103"/>
      <c r="AJ107" s="146"/>
      <c r="AK107" s="103"/>
      <c r="AL107" s="146"/>
      <c r="AM107" s="103"/>
      <c r="AN107" s="146"/>
      <c r="AO107" s="146"/>
      <c r="AP107" s="146"/>
      <c r="AQ107" s="146"/>
      <c r="AR107" s="146"/>
      <c r="AS107" s="146"/>
      <c r="AT107" s="146"/>
      <c r="AU107" s="146"/>
    </row>
    <row r="108" spans="1:69" ht="109.9" customHeight="1" x14ac:dyDescent="0.35">
      <c r="A108" s="154"/>
      <c r="B108" s="155"/>
      <c r="C108" s="156"/>
      <c r="D108" s="157"/>
      <c r="E108" s="158"/>
      <c r="F108" s="158"/>
      <c r="G108" s="158"/>
      <c r="H108" s="158"/>
      <c r="I108" s="158"/>
      <c r="J108" s="158"/>
      <c r="K108" s="158"/>
      <c r="L108" s="159"/>
      <c r="M108" s="100" t="s">
        <v>56</v>
      </c>
      <c r="N108" s="101" t="s">
        <v>57</v>
      </c>
      <c r="O108" s="101" t="s">
        <v>58</v>
      </c>
      <c r="P108" s="101" t="s">
        <v>59</v>
      </c>
      <c r="Q108" s="101" t="s">
        <v>60</v>
      </c>
      <c r="R108" s="101" t="s">
        <v>61</v>
      </c>
      <c r="S108" s="101" t="s">
        <v>62</v>
      </c>
      <c r="T108" s="101" t="s">
        <v>63</v>
      </c>
      <c r="U108" s="101" t="s">
        <v>64</v>
      </c>
      <c r="V108" s="162"/>
      <c r="W108" s="162"/>
      <c r="X108" s="162"/>
      <c r="Y108" s="162"/>
      <c r="Z108" s="162"/>
      <c r="AA108" s="162"/>
      <c r="AB108" s="164"/>
      <c r="AC108" s="162"/>
      <c r="AD108" s="166"/>
      <c r="AE108" s="2"/>
      <c r="AF108" s="146"/>
      <c r="AG108" s="103"/>
      <c r="AH108" s="146"/>
      <c r="AI108" s="103"/>
      <c r="AJ108" s="146"/>
      <c r="AK108" s="103"/>
      <c r="AL108" s="146"/>
      <c r="AM108" s="103"/>
      <c r="AN108" s="146"/>
      <c r="AO108" s="146"/>
      <c r="AP108" s="146"/>
      <c r="AQ108" s="146"/>
      <c r="AR108" s="146"/>
      <c r="AS108" s="146"/>
      <c r="AT108" s="146"/>
      <c r="AU108" s="146"/>
    </row>
    <row r="109" spans="1:69" ht="109.9" customHeight="1" x14ac:dyDescent="0.35">
      <c r="A109" s="157"/>
      <c r="B109" s="158"/>
      <c r="C109" s="159"/>
      <c r="D109" s="147">
        <f>F43</f>
        <v>125246.99999999999</v>
      </c>
      <c r="E109" s="148"/>
      <c r="F109" s="148"/>
      <c r="G109" s="148"/>
      <c r="H109" s="148"/>
      <c r="I109" s="148"/>
      <c r="J109" s="148"/>
      <c r="K109" s="148"/>
      <c r="L109" s="149"/>
      <c r="M109" s="3">
        <f>SUM(N109:U109)</f>
        <v>173563215.52000001</v>
      </c>
      <c r="N109" s="3">
        <f>N43</f>
        <v>21536273.649999999</v>
      </c>
      <c r="O109" s="3">
        <f>O43</f>
        <v>96508579.830000013</v>
      </c>
      <c r="P109" s="3"/>
      <c r="Q109" s="3">
        <f>Q43</f>
        <v>15658910.039999999</v>
      </c>
      <c r="R109" s="3">
        <f>R43</f>
        <v>13810003.59</v>
      </c>
      <c r="S109" s="3"/>
      <c r="T109" s="3">
        <f>T43</f>
        <v>22027088.98</v>
      </c>
      <c r="U109" s="3">
        <f>U43</f>
        <v>4022359.4299999997</v>
      </c>
      <c r="V109" s="101"/>
      <c r="W109" s="101">
        <f t="shared" ref="W109:AB109" si="78">W43</f>
        <v>147198815.25999999</v>
      </c>
      <c r="X109" s="3">
        <f t="shared" si="78"/>
        <v>28924850.129999999</v>
      </c>
      <c r="Y109" s="3">
        <f t="shared" si="78"/>
        <v>69748771.530000001</v>
      </c>
      <c r="Z109" s="3">
        <f t="shared" si="78"/>
        <v>32160942.41</v>
      </c>
      <c r="AA109" s="3">
        <f t="shared" si="78"/>
        <v>35248329.599999994</v>
      </c>
      <c r="AB109" s="3">
        <f t="shared" si="78"/>
        <v>6773948.9200000009</v>
      </c>
      <c r="AC109" s="3">
        <f>AB109+AA109+Z109+Y109+X109+W109+V109+M109</f>
        <v>493618873.37</v>
      </c>
      <c r="AD109" s="29" t="s">
        <v>182</v>
      </c>
      <c r="AE109" s="4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150"/>
      <c r="AR109" s="150"/>
      <c r="AS109" s="150"/>
      <c r="AT109" s="150"/>
      <c r="AU109" s="150"/>
    </row>
    <row r="110" spans="1:69" ht="109.9" customHeight="1" x14ac:dyDescent="0.35">
      <c r="A110" s="151" t="s">
        <v>210</v>
      </c>
      <c r="B110" s="152"/>
      <c r="C110" s="153"/>
      <c r="D110" s="151" t="s">
        <v>212</v>
      </c>
      <c r="E110" s="152"/>
      <c r="F110" s="152"/>
      <c r="G110" s="152"/>
      <c r="H110" s="152"/>
      <c r="I110" s="152"/>
      <c r="J110" s="152"/>
      <c r="K110" s="152"/>
      <c r="L110" s="153"/>
      <c r="M110" s="160" t="s">
        <v>51</v>
      </c>
      <c r="N110" s="160"/>
      <c r="O110" s="160"/>
      <c r="P110" s="160"/>
      <c r="Q110" s="160"/>
      <c r="R110" s="160"/>
      <c r="S110" s="160"/>
      <c r="T110" s="160"/>
      <c r="U110" s="161"/>
      <c r="V110" s="162" t="s">
        <v>15</v>
      </c>
      <c r="W110" s="162" t="s">
        <v>102</v>
      </c>
      <c r="X110" s="162" t="s">
        <v>99</v>
      </c>
      <c r="Y110" s="162" t="s">
        <v>92</v>
      </c>
      <c r="Z110" s="162" t="s">
        <v>53</v>
      </c>
      <c r="AA110" s="162" t="s">
        <v>54</v>
      </c>
      <c r="AB110" s="162" t="s">
        <v>106</v>
      </c>
      <c r="AC110" s="162" t="s">
        <v>23</v>
      </c>
      <c r="AD110" s="165" t="s">
        <v>55</v>
      </c>
      <c r="AE110" s="2"/>
      <c r="AF110" s="146"/>
      <c r="AG110" s="103"/>
      <c r="AH110" s="146"/>
      <c r="AI110" s="103"/>
      <c r="AJ110" s="146"/>
      <c r="AK110" s="103"/>
      <c r="AL110" s="146"/>
      <c r="AM110" s="103"/>
      <c r="AN110" s="146"/>
      <c r="AO110" s="146"/>
      <c r="AP110" s="146"/>
      <c r="AQ110" s="146"/>
      <c r="AR110" s="146"/>
      <c r="AS110" s="146"/>
      <c r="AT110" s="146"/>
      <c r="AU110" s="146"/>
    </row>
    <row r="111" spans="1:69" ht="109.9" customHeight="1" x14ac:dyDescent="0.35">
      <c r="A111" s="154"/>
      <c r="B111" s="155"/>
      <c r="C111" s="156"/>
      <c r="D111" s="157"/>
      <c r="E111" s="158"/>
      <c r="F111" s="158"/>
      <c r="G111" s="158"/>
      <c r="H111" s="158"/>
      <c r="I111" s="158"/>
      <c r="J111" s="158"/>
      <c r="K111" s="158"/>
      <c r="L111" s="159"/>
      <c r="M111" s="6" t="s">
        <v>56</v>
      </c>
      <c r="N111" s="101" t="s">
        <v>57</v>
      </c>
      <c r="O111" s="101" t="s">
        <v>58</v>
      </c>
      <c r="P111" s="101" t="s">
        <v>59</v>
      </c>
      <c r="Q111" s="101" t="s">
        <v>60</v>
      </c>
      <c r="R111" s="101" t="s">
        <v>61</v>
      </c>
      <c r="S111" s="101" t="s">
        <v>62</v>
      </c>
      <c r="T111" s="101" t="s">
        <v>63</v>
      </c>
      <c r="U111" s="7" t="s">
        <v>64</v>
      </c>
      <c r="V111" s="162"/>
      <c r="W111" s="162"/>
      <c r="X111" s="162"/>
      <c r="Y111" s="162"/>
      <c r="Z111" s="162"/>
      <c r="AA111" s="162"/>
      <c r="AB111" s="162"/>
      <c r="AC111" s="162"/>
      <c r="AD111" s="166"/>
      <c r="AE111" s="2"/>
      <c r="AF111" s="146"/>
      <c r="AG111" s="103"/>
      <c r="AH111" s="146"/>
      <c r="AI111" s="103"/>
      <c r="AJ111" s="146"/>
      <c r="AK111" s="103"/>
      <c r="AL111" s="146"/>
      <c r="AM111" s="103"/>
      <c r="AN111" s="146"/>
      <c r="AO111" s="146"/>
      <c r="AP111" s="146"/>
      <c r="AQ111" s="146"/>
      <c r="AR111" s="146"/>
      <c r="AS111" s="146"/>
      <c r="AT111" s="146"/>
      <c r="AU111" s="146"/>
    </row>
    <row r="112" spans="1:69" ht="109.9" customHeight="1" x14ac:dyDescent="0.35">
      <c r="A112" s="157"/>
      <c r="B112" s="158"/>
      <c r="C112" s="159"/>
      <c r="D112" s="167">
        <f>F65</f>
        <v>73244.5</v>
      </c>
      <c r="E112" s="148"/>
      <c r="F112" s="148"/>
      <c r="G112" s="148"/>
      <c r="H112" s="148"/>
      <c r="I112" s="148"/>
      <c r="J112" s="148"/>
      <c r="K112" s="148"/>
      <c r="L112" s="149"/>
      <c r="M112" s="8">
        <f>SUM(N112:U112)</f>
        <v>326908163.83000004</v>
      </c>
      <c r="N112" s="8">
        <f>N65</f>
        <v>36215718.409999996</v>
      </c>
      <c r="O112" s="3">
        <f>O65</f>
        <v>169364929.36000001</v>
      </c>
      <c r="P112" s="3"/>
      <c r="Q112" s="8">
        <f>Q65</f>
        <v>35961643.25</v>
      </c>
      <c r="R112" s="8">
        <f>R65</f>
        <v>34820815.210000001</v>
      </c>
      <c r="S112" s="8">
        <f>S65</f>
        <v>2394897.56</v>
      </c>
      <c r="T112" s="8">
        <f>T65</f>
        <v>47284936.550000004</v>
      </c>
      <c r="U112" s="8">
        <f>U65</f>
        <v>865223.49</v>
      </c>
      <c r="V112" s="101"/>
      <c r="W112" s="101">
        <f t="shared" ref="W112:AB112" si="79">W65</f>
        <v>13405652.189999999</v>
      </c>
      <c r="X112" s="3">
        <f t="shared" si="79"/>
        <v>35039573.700000003</v>
      </c>
      <c r="Y112" s="8">
        <f t="shared" si="79"/>
        <v>31007648.43</v>
      </c>
      <c r="Z112" s="8">
        <f t="shared" si="79"/>
        <v>33381394.629999999</v>
      </c>
      <c r="AA112" s="8">
        <f t="shared" si="79"/>
        <v>30080436.599999998</v>
      </c>
      <c r="AB112" s="8">
        <f t="shared" si="79"/>
        <v>6596136.4700000016</v>
      </c>
      <c r="AC112" s="3">
        <f>AB112+AA112+Z112+Y112+X112+W112+V112+M112</f>
        <v>476419005.85000002</v>
      </c>
      <c r="AD112" s="29" t="s">
        <v>183</v>
      </c>
      <c r="AE112" s="9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50"/>
      <c r="AR112" s="150"/>
      <c r="AS112" s="150"/>
      <c r="AT112" s="150"/>
      <c r="AU112" s="150"/>
    </row>
    <row r="113" spans="1:47" ht="109.9" customHeight="1" x14ac:dyDescent="0.35">
      <c r="A113" s="151" t="s">
        <v>211</v>
      </c>
      <c r="B113" s="152"/>
      <c r="C113" s="153"/>
      <c r="D113" s="151" t="s">
        <v>213</v>
      </c>
      <c r="E113" s="152"/>
      <c r="F113" s="152"/>
      <c r="G113" s="152"/>
      <c r="H113" s="152"/>
      <c r="I113" s="152"/>
      <c r="J113" s="152"/>
      <c r="K113" s="152"/>
      <c r="L113" s="153"/>
      <c r="M113" s="160" t="s">
        <v>51</v>
      </c>
      <c r="N113" s="160"/>
      <c r="O113" s="160"/>
      <c r="P113" s="160"/>
      <c r="Q113" s="160"/>
      <c r="R113" s="160"/>
      <c r="S113" s="160"/>
      <c r="T113" s="160"/>
      <c r="U113" s="161"/>
      <c r="V113" s="162" t="s">
        <v>15</v>
      </c>
      <c r="W113" s="162" t="s">
        <v>104</v>
      </c>
      <c r="X113" s="162" t="s">
        <v>103</v>
      </c>
      <c r="Y113" s="162" t="s">
        <v>92</v>
      </c>
      <c r="Z113" s="162" t="s">
        <v>53</v>
      </c>
      <c r="AA113" s="162" t="s">
        <v>54</v>
      </c>
      <c r="AB113" s="162" t="s">
        <v>89</v>
      </c>
      <c r="AC113" s="162" t="s">
        <v>23</v>
      </c>
      <c r="AD113" s="165" t="s">
        <v>55</v>
      </c>
      <c r="AE113" s="2"/>
      <c r="AF113" s="146"/>
      <c r="AG113" s="103"/>
      <c r="AH113" s="146"/>
      <c r="AI113" s="103"/>
      <c r="AJ113" s="146"/>
      <c r="AK113" s="103"/>
      <c r="AL113" s="146"/>
      <c r="AM113" s="103"/>
      <c r="AN113" s="146"/>
      <c r="AO113" s="146"/>
      <c r="AP113" s="146"/>
      <c r="AQ113" s="146"/>
      <c r="AR113" s="146"/>
      <c r="AS113" s="146"/>
      <c r="AT113" s="146"/>
      <c r="AU113" s="146"/>
    </row>
    <row r="114" spans="1:47" ht="109.9" customHeight="1" x14ac:dyDescent="0.35">
      <c r="A114" s="154"/>
      <c r="B114" s="155"/>
      <c r="C114" s="156"/>
      <c r="D114" s="157"/>
      <c r="E114" s="158"/>
      <c r="F114" s="158"/>
      <c r="G114" s="158"/>
      <c r="H114" s="158"/>
      <c r="I114" s="158"/>
      <c r="J114" s="158"/>
      <c r="K114" s="158"/>
      <c r="L114" s="159"/>
      <c r="M114" s="6" t="s">
        <v>56</v>
      </c>
      <c r="N114" s="101" t="s">
        <v>57</v>
      </c>
      <c r="O114" s="101" t="s">
        <v>58</v>
      </c>
      <c r="P114" s="101" t="s">
        <v>59</v>
      </c>
      <c r="Q114" s="101" t="s">
        <v>60</v>
      </c>
      <c r="R114" s="101" t="s">
        <v>61</v>
      </c>
      <c r="S114" s="101" t="s">
        <v>62</v>
      </c>
      <c r="T114" s="101" t="s">
        <v>63</v>
      </c>
      <c r="U114" s="7" t="s">
        <v>64</v>
      </c>
      <c r="V114" s="162"/>
      <c r="W114" s="162"/>
      <c r="X114" s="162"/>
      <c r="Y114" s="162"/>
      <c r="Z114" s="162"/>
      <c r="AA114" s="162"/>
      <c r="AB114" s="162"/>
      <c r="AC114" s="162"/>
      <c r="AD114" s="166"/>
      <c r="AE114" s="2"/>
      <c r="AF114" s="146"/>
      <c r="AG114" s="103"/>
      <c r="AH114" s="146"/>
      <c r="AI114" s="103"/>
      <c r="AJ114" s="146"/>
      <c r="AK114" s="103"/>
      <c r="AL114" s="146"/>
      <c r="AM114" s="103"/>
      <c r="AN114" s="146"/>
      <c r="AO114" s="146"/>
      <c r="AP114" s="146"/>
      <c r="AQ114" s="146"/>
      <c r="AR114" s="146"/>
      <c r="AS114" s="146"/>
      <c r="AT114" s="146"/>
      <c r="AU114" s="146"/>
    </row>
    <row r="115" spans="1:47" ht="109.9" customHeight="1" x14ac:dyDescent="0.35">
      <c r="A115" s="157"/>
      <c r="B115" s="158"/>
      <c r="C115" s="159"/>
      <c r="D115" s="167">
        <f>F103</f>
        <v>124656.20000000003</v>
      </c>
      <c r="E115" s="148"/>
      <c r="F115" s="148"/>
      <c r="G115" s="148"/>
      <c r="H115" s="148"/>
      <c r="I115" s="148"/>
      <c r="J115" s="148"/>
      <c r="K115" s="148"/>
      <c r="L115" s="149"/>
      <c r="M115" s="3">
        <f>SUM(N115:U115)</f>
        <v>138186641.5</v>
      </c>
      <c r="N115" s="3">
        <f>N103</f>
        <v>13750509.530000001</v>
      </c>
      <c r="O115" s="3">
        <f>O103</f>
        <v>86447108.86999999</v>
      </c>
      <c r="P115" s="3"/>
      <c r="Q115" s="3">
        <f>Q103</f>
        <v>11120732.66</v>
      </c>
      <c r="R115" s="3">
        <f>R103</f>
        <v>10773510.73</v>
      </c>
      <c r="S115" s="3"/>
      <c r="T115" s="3">
        <f>T103</f>
        <v>15036055.869999999</v>
      </c>
      <c r="U115" s="3">
        <f>U103</f>
        <v>1058723.8400000001</v>
      </c>
      <c r="V115" s="101"/>
      <c r="W115" s="101">
        <f t="shared" ref="W115:AB115" si="80">W103</f>
        <v>167656072.71000004</v>
      </c>
      <c r="X115" s="3">
        <f t="shared" si="80"/>
        <v>19097395.490000002</v>
      </c>
      <c r="Y115" s="3">
        <f t="shared" si="80"/>
        <v>153935140.07999998</v>
      </c>
      <c r="Z115" s="3">
        <f t="shared" si="80"/>
        <v>30110846.110000003</v>
      </c>
      <c r="AA115" s="3">
        <f t="shared" si="80"/>
        <v>38767244.799999997</v>
      </c>
      <c r="AB115" s="3">
        <f t="shared" si="80"/>
        <v>7634791.4399999985</v>
      </c>
      <c r="AC115" s="3">
        <f>AB115+AA115+Z115+Y115+X115+W115+V115+M115</f>
        <v>555388132.13</v>
      </c>
      <c r="AD115" s="29" t="s">
        <v>184</v>
      </c>
      <c r="AE115" s="4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150"/>
      <c r="AR115" s="150"/>
      <c r="AS115" s="150"/>
      <c r="AT115" s="150"/>
      <c r="AU115" s="150"/>
    </row>
    <row r="116" spans="1:47" ht="81.599999999999994" customHeight="1" x14ac:dyDescent="0.9">
      <c r="A116" s="96" t="s">
        <v>65</v>
      </c>
      <c r="B116" s="96"/>
      <c r="C116" s="96"/>
      <c r="D116" s="96"/>
      <c r="E116" s="96"/>
      <c r="F116" s="30"/>
      <c r="G116" s="31"/>
      <c r="H116" s="31"/>
      <c r="I116" s="96"/>
      <c r="J116" s="32"/>
      <c r="K116" s="33"/>
      <c r="L116" s="96"/>
      <c r="M116" s="96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5"/>
      <c r="AO116" s="96"/>
      <c r="AP116" s="96"/>
      <c r="AQ116" s="96"/>
      <c r="AR116" s="96"/>
      <c r="AS116" s="107"/>
      <c r="AT116" s="107"/>
      <c r="AU116" s="107"/>
    </row>
    <row r="117" spans="1:47" ht="64.5" x14ac:dyDescent="0.9">
      <c r="A117" s="96" t="s">
        <v>66</v>
      </c>
      <c r="B117" s="96"/>
      <c r="C117" s="96"/>
      <c r="D117" s="96"/>
      <c r="E117" s="96"/>
      <c r="F117" s="30"/>
      <c r="G117" s="31"/>
      <c r="H117" s="31"/>
      <c r="I117" s="96"/>
      <c r="J117" s="32"/>
      <c r="K117" s="33"/>
      <c r="L117" s="96"/>
      <c r="M117" s="96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5"/>
      <c r="AO117" s="96"/>
      <c r="AP117" s="96"/>
      <c r="AQ117" s="96"/>
      <c r="AR117" s="96"/>
      <c r="AS117" s="107"/>
      <c r="AT117" s="107"/>
      <c r="AU117" s="107"/>
    </row>
    <row r="118" spans="1:47" ht="65.25" x14ac:dyDescent="0.95">
      <c r="A118" s="170" t="s">
        <v>67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36"/>
      <c r="AJ118" s="36"/>
      <c r="AK118" s="36"/>
      <c r="AL118" s="36"/>
      <c r="AM118" s="36"/>
      <c r="AN118" s="37"/>
      <c r="AO118" s="96"/>
      <c r="AP118" s="96"/>
      <c r="AQ118" s="96"/>
      <c r="AR118" s="96"/>
      <c r="AS118" s="107"/>
      <c r="AT118" s="107"/>
      <c r="AU118" s="107"/>
    </row>
    <row r="119" spans="1:47" ht="65.25" x14ac:dyDescent="0.95">
      <c r="A119" s="169" t="s">
        <v>68</v>
      </c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04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7"/>
      <c r="AO119" s="38"/>
      <c r="AP119" s="38"/>
      <c r="AQ119" s="38"/>
      <c r="AR119" s="38"/>
      <c r="AS119" s="107"/>
      <c r="AT119" s="107"/>
      <c r="AU119" s="107"/>
    </row>
    <row r="120" spans="1:47" ht="65.25" x14ac:dyDescent="0.95">
      <c r="A120" s="169" t="s">
        <v>69</v>
      </c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97"/>
      <c r="AN120" s="37"/>
      <c r="AO120" s="38"/>
      <c r="AP120" s="38"/>
      <c r="AQ120" s="38"/>
      <c r="AR120" s="38"/>
      <c r="AS120" s="107"/>
      <c r="AT120" s="107"/>
      <c r="AU120" s="107"/>
    </row>
    <row r="121" spans="1:47" ht="65.25" x14ac:dyDescent="0.95">
      <c r="A121" s="39" t="s">
        <v>70</v>
      </c>
      <c r="B121" s="39"/>
      <c r="C121" s="96"/>
      <c r="D121" s="39"/>
      <c r="E121" s="39"/>
      <c r="F121" s="31"/>
      <c r="G121" s="31"/>
      <c r="H121" s="31"/>
      <c r="I121" s="39"/>
      <c r="J121" s="39"/>
      <c r="K121" s="33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7"/>
      <c r="AO121" s="38"/>
      <c r="AP121" s="38"/>
      <c r="AQ121" s="38"/>
      <c r="AR121" s="38"/>
      <c r="AS121" s="13"/>
      <c r="AT121" s="13"/>
      <c r="AU121" s="13"/>
    </row>
    <row r="122" spans="1:47" ht="65.25" x14ac:dyDescent="0.95">
      <c r="A122" s="170" t="s">
        <v>71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36"/>
      <c r="AJ122" s="36"/>
      <c r="AK122" s="36"/>
      <c r="AL122" s="36"/>
      <c r="AM122" s="36"/>
      <c r="AN122" s="37"/>
      <c r="AO122" s="38"/>
      <c r="AP122" s="38"/>
      <c r="AQ122" s="38"/>
      <c r="AR122" s="38"/>
      <c r="AS122" s="13"/>
      <c r="AT122" s="13"/>
      <c r="AU122" s="13"/>
    </row>
    <row r="123" spans="1:47" ht="130.15" customHeight="1" x14ac:dyDescent="0.9">
      <c r="A123" s="169" t="s">
        <v>185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38"/>
      <c r="AJ123" s="38"/>
      <c r="AK123" s="38"/>
      <c r="AL123" s="38"/>
      <c r="AM123" s="38"/>
      <c r="AN123" s="40"/>
      <c r="AO123" s="38"/>
      <c r="AP123" s="38"/>
      <c r="AQ123" s="38"/>
      <c r="AR123" s="38"/>
      <c r="AS123" s="13"/>
      <c r="AT123" s="13"/>
      <c r="AU123" s="13"/>
    </row>
    <row r="124" spans="1:47" ht="51.6" customHeight="1" x14ac:dyDescent="0.9">
      <c r="A124" s="39" t="s">
        <v>72</v>
      </c>
      <c r="B124" s="39"/>
      <c r="C124" s="96"/>
      <c r="D124" s="39"/>
      <c r="E124" s="39"/>
      <c r="F124" s="31"/>
      <c r="G124" s="31"/>
      <c r="H124" s="31"/>
      <c r="I124" s="39"/>
      <c r="J124" s="39"/>
      <c r="K124" s="33"/>
      <c r="L124" s="39"/>
      <c r="M124" s="39"/>
      <c r="N124" s="39"/>
      <c r="O124" s="39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40"/>
      <c r="AO124" s="38"/>
      <c r="AP124" s="38"/>
      <c r="AQ124" s="38"/>
      <c r="AR124" s="38"/>
      <c r="AS124" s="13"/>
      <c r="AT124" s="13"/>
      <c r="AU124" s="13"/>
    </row>
    <row r="125" spans="1:47" ht="65.25" x14ac:dyDescent="0.95">
      <c r="A125" s="96" t="s">
        <v>73</v>
      </c>
      <c r="B125" s="96"/>
      <c r="C125" s="96"/>
      <c r="D125" s="96"/>
      <c r="E125" s="96"/>
      <c r="F125" s="31"/>
      <c r="G125" s="31"/>
      <c r="H125" s="31"/>
      <c r="I125" s="96"/>
      <c r="J125" s="41"/>
      <c r="K125" s="42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7"/>
      <c r="AO125" s="38"/>
      <c r="AP125" s="38"/>
      <c r="AQ125" s="38"/>
      <c r="AR125" s="38"/>
      <c r="AS125" s="13"/>
      <c r="AT125" s="13"/>
      <c r="AU125" s="13"/>
    </row>
    <row r="126" spans="1:47" ht="64.5" x14ac:dyDescent="0.9">
      <c r="A126" s="170" t="s">
        <v>74</v>
      </c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38"/>
      <c r="AJ126" s="38"/>
      <c r="AK126" s="38"/>
      <c r="AL126" s="38"/>
      <c r="AM126" s="38"/>
      <c r="AN126" s="40"/>
      <c r="AO126" s="38"/>
      <c r="AP126" s="38"/>
      <c r="AQ126" s="38"/>
      <c r="AR126" s="38"/>
      <c r="AS126" s="13"/>
      <c r="AT126" s="13"/>
      <c r="AU126" s="13"/>
    </row>
    <row r="127" spans="1:47" ht="64.5" x14ac:dyDescent="0.9">
      <c r="A127" s="168" t="s">
        <v>75</v>
      </c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98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4"/>
      <c r="AO127" s="43"/>
      <c r="AP127" s="43"/>
      <c r="AQ127" s="43"/>
      <c r="AR127" s="43"/>
      <c r="AS127" s="14"/>
      <c r="AT127" s="14"/>
      <c r="AU127" s="14"/>
    </row>
    <row r="128" spans="1:47" ht="64.5" x14ac:dyDescent="0.9">
      <c r="A128" s="168" t="s">
        <v>76</v>
      </c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98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4"/>
      <c r="AO128" s="43"/>
      <c r="AP128" s="43"/>
      <c r="AQ128" s="43"/>
      <c r="AR128" s="43"/>
      <c r="AS128" s="14"/>
      <c r="AT128" s="14"/>
      <c r="AU128" s="14"/>
    </row>
    <row r="129" spans="1:47" ht="64.5" x14ac:dyDescent="0.9">
      <c r="A129" s="39" t="s">
        <v>77</v>
      </c>
      <c r="B129" s="39"/>
      <c r="C129" s="96"/>
      <c r="D129" s="39"/>
      <c r="E129" s="39"/>
      <c r="F129" s="31"/>
      <c r="G129" s="31"/>
      <c r="H129" s="31"/>
      <c r="I129" s="39"/>
      <c r="J129" s="39"/>
      <c r="K129" s="33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40"/>
      <c r="AO129" s="38"/>
      <c r="AP129" s="38"/>
      <c r="AQ129" s="38"/>
      <c r="AR129" s="38"/>
      <c r="AS129" s="13"/>
      <c r="AT129" s="13"/>
      <c r="AU129" s="13"/>
    </row>
    <row r="130" spans="1:47" ht="65.25" x14ac:dyDescent="0.95">
      <c r="A130" s="39" t="s">
        <v>78</v>
      </c>
      <c r="B130" s="39"/>
      <c r="C130" s="96"/>
      <c r="D130" s="39"/>
      <c r="E130" s="39"/>
      <c r="F130" s="31"/>
      <c r="G130" s="31"/>
      <c r="H130" s="31"/>
      <c r="I130" s="39"/>
      <c r="J130" s="39"/>
      <c r="K130" s="33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7"/>
      <c r="AO130" s="36"/>
      <c r="AP130" s="36"/>
      <c r="AQ130" s="36"/>
      <c r="AR130" s="36"/>
      <c r="AS130" s="12"/>
      <c r="AT130" s="12"/>
      <c r="AU130" s="12"/>
    </row>
    <row r="131" spans="1:47" ht="64.5" x14ac:dyDescent="0.35">
      <c r="A131" s="169" t="s">
        <v>79</v>
      </c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2"/>
      <c r="AT131" s="12"/>
      <c r="AU131" s="12"/>
    </row>
    <row r="132" spans="1:47" ht="65.25" x14ac:dyDescent="0.95">
      <c r="A132" s="96" t="s">
        <v>80</v>
      </c>
      <c r="B132" s="96"/>
      <c r="C132" s="96"/>
      <c r="D132" s="96"/>
      <c r="E132" s="96"/>
      <c r="F132" s="45"/>
      <c r="G132" s="46"/>
      <c r="H132" s="31"/>
      <c r="I132" s="96"/>
      <c r="J132" s="47"/>
      <c r="K132" s="33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48"/>
      <c r="AA132" s="48"/>
      <c r="AB132" s="48"/>
      <c r="AC132" s="48"/>
      <c r="AD132" s="48"/>
      <c r="AE132" s="48"/>
      <c r="AF132" s="48"/>
      <c r="AG132" s="48"/>
      <c r="AH132" s="48"/>
      <c r="AI132" s="36"/>
      <c r="AJ132" s="36"/>
      <c r="AK132" s="36"/>
      <c r="AL132" s="36"/>
      <c r="AM132" s="36"/>
      <c r="AN132" s="37"/>
      <c r="AO132" s="36"/>
      <c r="AP132" s="36"/>
      <c r="AQ132" s="36"/>
      <c r="AR132" s="36"/>
      <c r="AS132" s="12"/>
      <c r="AT132" s="12"/>
      <c r="AU132" s="12"/>
    </row>
    <row r="134" spans="1:47" x14ac:dyDescent="0.35"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</row>
  </sheetData>
  <autoFilter ref="A14:BQ132" xr:uid="{00000000-0009-0000-0000-000000000000}"/>
  <mergeCells count="125">
    <mergeCell ref="A131:AR131"/>
    <mergeCell ref="A120:AL120"/>
    <mergeCell ref="A122:AH122"/>
    <mergeCell ref="A123:AH123"/>
    <mergeCell ref="A126:AH126"/>
    <mergeCell ref="A127:Z127"/>
    <mergeCell ref="A128:T128"/>
    <mergeCell ref="AP113:AP114"/>
    <mergeCell ref="AQ113:AU114"/>
    <mergeCell ref="D115:L115"/>
    <mergeCell ref="AQ115:AU115"/>
    <mergeCell ref="A118:AH118"/>
    <mergeCell ref="A119:AB119"/>
    <mergeCell ref="AF113:AF114"/>
    <mergeCell ref="AH113:AH114"/>
    <mergeCell ref="AJ113:AJ114"/>
    <mergeCell ref="AL113:AL114"/>
    <mergeCell ref="AN113:AN114"/>
    <mergeCell ref="AO113:AO114"/>
    <mergeCell ref="Y113:Y114"/>
    <mergeCell ref="Z113:Z114"/>
    <mergeCell ref="AA113:AA114"/>
    <mergeCell ref="AB113:AB114"/>
    <mergeCell ref="AC113:AC114"/>
    <mergeCell ref="AD113:AD114"/>
    <mergeCell ref="AP110:AP111"/>
    <mergeCell ref="AQ110:AU111"/>
    <mergeCell ref="D112:L112"/>
    <mergeCell ref="AQ112:AU112"/>
    <mergeCell ref="A113:C115"/>
    <mergeCell ref="D113:L114"/>
    <mergeCell ref="M113:U113"/>
    <mergeCell ref="V113:V114"/>
    <mergeCell ref="W113:W114"/>
    <mergeCell ref="X113:X114"/>
    <mergeCell ref="AF110:AF111"/>
    <mergeCell ref="AH110:AH111"/>
    <mergeCell ref="AJ110:AJ111"/>
    <mergeCell ref="AL110:AL111"/>
    <mergeCell ref="AN110:AN111"/>
    <mergeCell ref="AO110:AO111"/>
    <mergeCell ref="Y110:Y111"/>
    <mergeCell ref="Z110:Z111"/>
    <mergeCell ref="AA110:AA111"/>
    <mergeCell ref="AB110:AB111"/>
    <mergeCell ref="AC110:AC111"/>
    <mergeCell ref="AD110:AD111"/>
    <mergeCell ref="D109:L109"/>
    <mergeCell ref="AQ109:AU109"/>
    <mergeCell ref="A110:C112"/>
    <mergeCell ref="D110:L111"/>
    <mergeCell ref="M110:U110"/>
    <mergeCell ref="V110:V111"/>
    <mergeCell ref="W110:W111"/>
    <mergeCell ref="X110:X111"/>
    <mergeCell ref="AF107:AF108"/>
    <mergeCell ref="AH107:AH108"/>
    <mergeCell ref="AJ107:AJ108"/>
    <mergeCell ref="AL107:AL108"/>
    <mergeCell ref="AN107:AN108"/>
    <mergeCell ref="AO107:AO108"/>
    <mergeCell ref="Y107:Y108"/>
    <mergeCell ref="Z107:Z108"/>
    <mergeCell ref="AA107:AA108"/>
    <mergeCell ref="AB107:AB108"/>
    <mergeCell ref="AC107:AC108"/>
    <mergeCell ref="AD107:AD108"/>
    <mergeCell ref="A107:C109"/>
    <mergeCell ref="D107:L108"/>
    <mergeCell ref="M107:U107"/>
    <mergeCell ref="V107:V108"/>
    <mergeCell ref="W107:W108"/>
    <mergeCell ref="X107:X108"/>
    <mergeCell ref="AI90:BI90"/>
    <mergeCell ref="AI95:AR95"/>
    <mergeCell ref="AI102:AX102"/>
    <mergeCell ref="A103:C103"/>
    <mergeCell ref="A104:C104"/>
    <mergeCell ref="A106:AD106"/>
    <mergeCell ref="AP107:AP108"/>
    <mergeCell ref="AQ107:AU108"/>
    <mergeCell ref="L9:L11"/>
    <mergeCell ref="A66:AH66"/>
    <mergeCell ref="AI71:BC71"/>
    <mergeCell ref="AI72:AZ72"/>
    <mergeCell ref="AI84:BN84"/>
    <mergeCell ref="AI85:AQ85"/>
    <mergeCell ref="AI89:BD89"/>
    <mergeCell ref="AE10:AE11"/>
    <mergeCell ref="AF10:AF11"/>
    <mergeCell ref="A13:AH13"/>
    <mergeCell ref="A43:C43"/>
    <mergeCell ref="A44:AH44"/>
    <mergeCell ref="A65:C65"/>
    <mergeCell ref="Y10:Y11"/>
    <mergeCell ref="Z10:Z11"/>
    <mergeCell ref="AA10:AA11"/>
    <mergeCell ref="AB10:AB11"/>
    <mergeCell ref="AC10:AC11"/>
    <mergeCell ref="AD10:AD11"/>
    <mergeCell ref="F9:F11"/>
    <mergeCell ref="AA2:AH2"/>
    <mergeCell ref="AA3:AH3"/>
    <mergeCell ref="AA4:AH4"/>
    <mergeCell ref="AA5:AH5"/>
    <mergeCell ref="A7:AH7"/>
    <mergeCell ref="A9:A11"/>
    <mergeCell ref="B9:B11"/>
    <mergeCell ref="C9:C11"/>
    <mergeCell ref="D9:D11"/>
    <mergeCell ref="E9:E11"/>
    <mergeCell ref="M9:AB9"/>
    <mergeCell ref="AC9:AF9"/>
    <mergeCell ref="AG9:AG11"/>
    <mergeCell ref="AH9:AH11"/>
    <mergeCell ref="G10:G11"/>
    <mergeCell ref="H10:H11"/>
    <mergeCell ref="M10:U10"/>
    <mergeCell ref="V10:V11"/>
    <mergeCell ref="W10:W11"/>
    <mergeCell ref="X10:X11"/>
    <mergeCell ref="G9:H9"/>
    <mergeCell ref="I9:I11"/>
    <mergeCell ref="J9:J11"/>
    <mergeCell ref="K9:K11"/>
  </mergeCells>
  <pageMargins left="0.78740157480314965" right="0.70866141732283472" top="1.1811023622047245" bottom="0.39370078740157483" header="0.35433070866141736" footer="0.31496062992125984"/>
  <pageSetup paperSize="9" scale="17" orientation="landscape" r:id="rId1"/>
  <headerFooter>
    <oddHeader>&amp;C&amp;"Times New Roman,обычный"&amp;60 &amp;P</oddHeader>
    <firstHeader xml:space="preserve">&amp;C
</firstHeader>
  </headerFooter>
  <colBreaks count="1" manualBreakCount="1">
    <brk id="34" max="13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B29D-64A3-4FBE-88C9-CB2C17E5EE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Минстр18.04 с изм по Круп  изм</vt:lpstr>
      <vt:lpstr>последний лист</vt:lpstr>
      <vt:lpstr>Лист1</vt:lpstr>
      <vt:lpstr>'Минстр18.04 с изм по Круп  изм'!Заголовки_для_печати</vt:lpstr>
      <vt:lpstr>'Минстр18.04 с изм по Круп  изм'!Область_печати</vt:lpstr>
      <vt:lpstr>'последний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2022-11-08T08:08:57Z</cp:lastPrinted>
  <dcterms:created xsi:type="dcterms:W3CDTF">2022-04-19T05:51:30Z</dcterms:created>
  <dcterms:modified xsi:type="dcterms:W3CDTF">2022-11-08T11:25:26Z</dcterms:modified>
</cp:coreProperties>
</file>